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10545" firstSheet="1" activeTab="1"/>
  </bookViews>
  <sheets>
    <sheet name="foxz" sheetId="1" state="veryHidden" r:id="rId1"/>
    <sheet name="PL" sheetId="2" r:id="rId2"/>
  </sheets>
  <definedNames>
    <definedName name="_xlnm.Print_Area" localSheetId="1">'PL'!$A$1:$V$63</definedName>
    <definedName name="_xlnm.Print_Titles" localSheetId="1">'PL'!$9:$12</definedName>
  </definedNames>
  <calcPr fullCalcOnLoad="1"/>
</workbook>
</file>

<file path=xl/sharedStrings.xml><?xml version="1.0" encoding="utf-8"?>
<sst xmlns="http://schemas.openxmlformats.org/spreadsheetml/2006/main" count="397" uniqueCount="223">
  <si>
    <t>TT</t>
  </si>
  <si>
    <t>Địa điểm xây dựng</t>
  </si>
  <si>
    <t>NS xã và vốn khác</t>
  </si>
  <si>
    <t>I</t>
  </si>
  <si>
    <t>2022-2023</t>
  </si>
  <si>
    <t>Xã Bình Trị</t>
  </si>
  <si>
    <t>II</t>
  </si>
  <si>
    <t>III</t>
  </si>
  <si>
    <t>Nhà, tường rào hội trường đa năng xã Bình Trị</t>
  </si>
  <si>
    <t>IV</t>
  </si>
  <si>
    <t>Tổng số</t>
  </si>
  <si>
    <t>Xã Bình Thạnh</t>
  </si>
  <si>
    <t>V</t>
  </si>
  <si>
    <t>Xã Bình Phước</t>
  </si>
  <si>
    <t>Xã Bình Trung</t>
  </si>
  <si>
    <t>Xã Bình Nguyên</t>
  </si>
  <si>
    <t>Xã Bình Thanh</t>
  </si>
  <si>
    <t>Xã Bình Dương</t>
  </si>
  <si>
    <t>Xã Bình Long</t>
  </si>
  <si>
    <t>Xã Bình Chương</t>
  </si>
  <si>
    <t xml:space="preserve">KCH kênh nội đồng Tuyến số 1 (B3-VC7) </t>
  </si>
  <si>
    <t>Đường Ngõ Lực - Cống Thính</t>
  </si>
  <si>
    <t>Xã Bình Hiệp</t>
  </si>
  <si>
    <t xml:space="preserve">Xã Bình Tân Phú </t>
  </si>
  <si>
    <t>Xã Bình Khương</t>
  </si>
  <si>
    <t>VII</t>
  </si>
  <si>
    <t>Xã Bình Mỹ</t>
  </si>
  <si>
    <t>Xã Bình Minh</t>
  </si>
  <si>
    <t>Xã Bình Đông</t>
  </si>
  <si>
    <t>NSTW, NST</t>
  </si>
  <si>
    <t>Thời gian KC - HT</t>
  </si>
  <si>
    <t>NS
huyện</t>
  </si>
  <si>
    <t>Tổng mức đầu tư</t>
  </si>
  <si>
    <t>IX</t>
  </si>
  <si>
    <t>X</t>
  </si>
  <si>
    <t>XIII</t>
  </si>
  <si>
    <t>Xã
 Bình Hòa</t>
  </si>
  <si>
    <t>XIV</t>
  </si>
  <si>
    <t>XI</t>
  </si>
  <si>
    <t>XV</t>
  </si>
  <si>
    <t>VI</t>
  </si>
  <si>
    <t>VIII</t>
  </si>
  <si>
    <t>XVI</t>
  </si>
  <si>
    <t>Tổng cộng</t>
  </si>
  <si>
    <t>Khu thể thao xã; Hạng mục: Nhà thi đấu đa năng</t>
  </si>
  <si>
    <t>ĐVT: Triệu đồng</t>
  </si>
  <si>
    <t>Danh mục dự án</t>
  </si>
  <si>
    <t>XÃ BÌNH DƯƠNG</t>
  </si>
  <si>
    <t>XÃ BÌNH TRUNG</t>
  </si>
  <si>
    <t>XÃ BÌNH NGUYÊN</t>
  </si>
  <si>
    <t>XÃ BÌNH TRỊ</t>
  </si>
  <si>
    <t>XÃ BÌNH MINH</t>
  </si>
  <si>
    <t>XÃ BÌNH LONG</t>
  </si>
  <si>
    <t>XÃ BÌNH MỸ</t>
  </si>
  <si>
    <t>XÃ BÌNH PHƯỚC</t>
  </si>
  <si>
    <t>XÃ BÌNH HIỆP</t>
  </si>
  <si>
    <t>XÃ BÌNH KHƯƠNG</t>
  </si>
  <si>
    <t>XÃ BÌNH THẠNH</t>
  </si>
  <si>
    <t>XÃ BÌNH HÒA</t>
  </si>
  <si>
    <t>XÃ BÌNH THANH</t>
  </si>
  <si>
    <t>XÃ BÌNH CHƯƠNG</t>
  </si>
  <si>
    <t>XÃ BÌNH TÂN PHÚ</t>
  </si>
  <si>
    <t>XÃ BÌNH ĐÔNG</t>
  </si>
  <si>
    <t>Mã số dự án đầu tư</t>
  </si>
  <si>
    <t>Mã ngành kinh tế (loại, khoản)</t>
  </si>
  <si>
    <t>Chủ đầu tư</t>
  </si>
  <si>
    <t>Quyết định đầu tư dự án</t>
  </si>
  <si>
    <t>Số, ngày, tháng, năm</t>
  </si>
  <si>
    <t>Trong đó</t>
  </si>
  <si>
    <t>6185m2</t>
  </si>
  <si>
    <t>Ghi chú</t>
  </si>
  <si>
    <t>Kế hoạch đầu tư công trung hạn giai đoạn 2021-2025 (NSTW, tỉnh, huyện)</t>
  </si>
  <si>
    <t>Địa điểm mở tài khoản của dự án</t>
  </si>
  <si>
    <t>KBNN Bình sơn</t>
  </si>
  <si>
    <t>071</t>
  </si>
  <si>
    <t>292</t>
  </si>
  <si>
    <t>283</t>
  </si>
  <si>
    <t>073</t>
  </si>
  <si>
    <t>161</t>
  </si>
  <si>
    <t>221</t>
  </si>
  <si>
    <t>311</t>
  </si>
  <si>
    <t>883/QĐ-UBND
ngày 09/9/2022</t>
  </si>
  <si>
    <t>072</t>
  </si>
  <si>
    <t>362/QĐ-UBND
ngày 09/9/2022</t>
  </si>
  <si>
    <t>500/QĐ-UBND
ngày 09/9/2022</t>
  </si>
  <si>
    <t>538m2</t>
  </si>
  <si>
    <t>1484,33m</t>
  </si>
  <si>
    <t>986/QĐ-UBND
ngày 09/9/2022</t>
  </si>
  <si>
    <t>1007/QĐ-UBND ngày 09/9/2022</t>
  </si>
  <si>
    <t>(Kèm theo Nghị quyết số           /NQ-HĐND ngày        tháng 9 năm 2022 của Hội đồng nhân dân huyện Bình Sơn)</t>
  </si>
  <si>
    <t>NSTW</t>
  </si>
  <si>
    <t>UBND xã  
Bình Chương</t>
  </si>
  <si>
    <t>UBND xã 
Bình Tân Phú</t>
  </si>
  <si>
    <t>UBND xã 
Bình Đông</t>
  </si>
  <si>
    <t>UBND xã 
Bình Dương</t>
  </si>
  <si>
    <t>UBND xã 
Bình Trung</t>
  </si>
  <si>
    <t>UBND xã 
Bình Nguyên</t>
  </si>
  <si>
    <t>UBND xã 
Bình Trị</t>
  </si>
  <si>
    <t>UBND xã 
Bình Minh</t>
  </si>
  <si>
    <t>UBND xã 
Bình Long</t>
  </si>
  <si>
    <t>UBND xã 
Bình Mỹ</t>
  </si>
  <si>
    <t>UBND xã 
Bình Phước</t>
  </si>
  <si>
    <t>UBND xã 
Bình Hiệp</t>
  </si>
  <si>
    <t>UBND xã 
Bình Khương</t>
  </si>
  <si>
    <t>UBND xã 
Bình Thạnh</t>
  </si>
  <si>
    <t>UBND xã 
Bình Hòa</t>
  </si>
  <si>
    <t>UBND xã 
Bình Thanh</t>
  </si>
  <si>
    <t xml:space="preserve"> Nhà đa năng: diện tích 892,755m2; Tường rào dài 66,9m</t>
  </si>
  <si>
    <t>(Kèm theo Quyết định  số                /QĐ-UBND ngày         tháng 9 năm 2022 của UBND huyện Bình Sơn)</t>
  </si>
  <si>
    <t>NSH</t>
  </si>
  <si>
    <t>Mã CTMTQG</t>
  </si>
  <si>
    <t>00492</t>
  </si>
  <si>
    <t>00495</t>
  </si>
  <si>
    <t>00496</t>
  </si>
  <si>
    <t>7981100</t>
  </si>
  <si>
    <t>7993743</t>
  </si>
  <si>
    <t>7974576</t>
  </si>
  <si>
    <t>BTXM tuyến nhà Phạm Mạnh đến đường sắt thôn Phước Bình</t>
  </si>
  <si>
    <t>706,2m</t>
  </si>
  <si>
    <t>2023-2024</t>
  </si>
  <si>
    <t>64/QĐ-UBND
ngày 27/2/2023</t>
  </si>
  <si>
    <t>62/QĐ-UBND
ngày 27/2/2023</t>
  </si>
  <si>
    <t>Nâng cấp sân vận động xã Bình Mỹ</t>
  </si>
  <si>
    <t>Lát gạch sân nền; sửa chữa công trình vệ sinh; trang thiết bi và hệ thống điện Khu thể thao xã Bình Mỹ</t>
  </si>
  <si>
    <t>Cổng chính; tường rào kết hợp với bục cấp</t>
  </si>
  <si>
    <t>22/QĐ-UBND
ngày 21/02/2023</t>
  </si>
  <si>
    <t>23/QĐ-UBND
ngày 21/02/2023</t>
  </si>
  <si>
    <t>Nhà Phạm Bảo - Nhà văn hóa thôn Long Xuân</t>
  </si>
  <si>
    <t>39/QĐ-UBND
ngày 21/02/2023</t>
  </si>
  <si>
    <t>42/QĐ-UBND
ngày 21/02/2023</t>
  </si>
  <si>
    <t>43/QĐ-UBND
ngày 21/02/2023</t>
  </si>
  <si>
    <t>522,44m</t>
  </si>
  <si>
    <t>Nhà văn hóa thôn Long Hội</t>
  </si>
  <si>
    <t>Nhà hiệu bộ trường Tiểu học Bình Long (cụm B)</t>
  </si>
  <si>
    <t>Đường xã tuyến Trường THCS - Kênh B7 (ông Hường)</t>
  </si>
  <si>
    <t>81/QĐ-UBND
ngày 22/02/2023</t>
  </si>
  <si>
    <t>504,76m</t>
  </si>
  <si>
    <t>550m</t>
  </si>
  <si>
    <t>2023 -2024</t>
  </si>
  <si>
    <t>Tuyến kênh từ đập Đồng Bình đến cống Rộc Trạng</t>
  </si>
  <si>
    <t>26/QĐ-UBND
ngày 20/02/2023</t>
  </si>
  <si>
    <t>27/QĐ-UBND
ngày 20/02/2023</t>
  </si>
  <si>
    <t xml:space="preserve">Trường Mẫu giáo Bình Khương - Cơ sở Trà Lăm; Hạng mục: Xây dựng bể chứa nước ngầm, thiết bị Phòng cháy chữa cháy  </t>
  </si>
  <si>
    <t>25/QĐ-UBND
ngày 22/02/2023</t>
  </si>
  <si>
    <t>150m3</t>
  </si>
  <si>
    <t>26/QĐ-UBND
ngày 22/02/2023</t>
  </si>
  <si>
    <t>Trường THCS Bình Thạnh; Hạng mục: Sân nền</t>
  </si>
  <si>
    <t>Trường Tiểu học số 1 Bình Thạnh (thôn Phước Thành)</t>
  </si>
  <si>
    <t xml:space="preserve"> 1000 m2; lát gạch Tarezoo   </t>
  </si>
  <si>
    <t>02 phòng học và Tường rào cổng ngõ; sân bê tông</t>
  </si>
  <si>
    <t>39/QĐ-UBND
ngày 22/02/2023</t>
  </si>
  <si>
    <t xml:space="preserve">BTXM Tuyến đường từ ngõ bà Đủ xóm Cầu đến đập Hòa Hải </t>
  </si>
  <si>
    <t>Công viên xã Bình Hòa</t>
  </si>
  <si>
    <t>600m</t>
  </si>
  <si>
    <t>26/QĐ-UBND
ngày 21/02/2023</t>
  </si>
  <si>
    <t>27/QĐ-UBND
ngày 21/02/2023</t>
  </si>
  <si>
    <t>312</t>
  </si>
  <si>
    <t>00497</t>
  </si>
  <si>
    <t>Đường thôn tuyến đường Ngõ Trầm - Đập Máng</t>
  </si>
  <si>
    <t>KCH kênh BM 2-4-1 nhánh rẽ - đồng Con Mang</t>
  </si>
  <si>
    <t>21/QĐ-UBND
ngày 22/02/2023</t>
  </si>
  <si>
    <t>450m</t>
  </si>
  <si>
    <t>22/QĐ-UBND
ngày 22/02/2023</t>
  </si>
  <si>
    <t>BTXM tuyến đường nhà ông Nguyễn Văn Đường nối đường Dung Quất - Sa Huỳnh, thôn Phú Nhiêu 1</t>
  </si>
  <si>
    <t>Đường từ nhà Nguyễn Văn Cảm - Nguyễn Nở vức 2 thôn Thượng Hòa</t>
  </si>
  <si>
    <t>Hệ thống nước sạch thôn Thượng Hòa giai đoạn 2</t>
  </si>
  <si>
    <t>1430m</t>
  </si>
  <si>
    <t>55/QĐ-UBND
ngày 20/2/2023</t>
  </si>
  <si>
    <t>462,62m</t>
  </si>
  <si>
    <t>56/QĐ-UBND
ngày 20/2/2023</t>
  </si>
  <si>
    <t>400m</t>
  </si>
  <si>
    <t>23/QĐ-UBND
ngày 22/02/2023</t>
  </si>
  <si>
    <t>Tuyến đường nhà ông Trọng đến suối bà Hiển + 02 cống thoát nước ngang đường</t>
  </si>
  <si>
    <t>1.797m</t>
  </si>
  <si>
    <t>Chỉnh trang các tuyến đường trồng cây xanh, điện chiếu sáng, biển báo giao thông và dụng cụ thể thao thôn Tân Phước Đông</t>
  </si>
  <si>
    <t>700 m</t>
  </si>
  <si>
    <t>25/QĐ-UBND
ngày 21/02/2023</t>
  </si>
  <si>
    <t>Quy mô dự kiến ban đầu</t>
  </si>
  <si>
    <t>Sửa chữa nâng cấp tuyến đường xã Trung Minh - Ngõ Út Lực đi Nỗng Chuông (Từ Km 1.114-Km 3.114)</t>
  </si>
  <si>
    <t>2000m</t>
  </si>
  <si>
    <t>2661,89m</t>
  </si>
  <si>
    <t>7995991</t>
  </si>
  <si>
    <t>497/QĐ-UBND
ngày 09/9/2022</t>
  </si>
  <si>
    <t>500m</t>
  </si>
  <si>
    <t>BTXM tuyến từ nhà Trần Văn Ánh đến Hóc Thái</t>
  </si>
  <si>
    <t>7982661</t>
  </si>
  <si>
    <t>300m</t>
  </si>
  <si>
    <t>120m2</t>
  </si>
  <si>
    <t>80 chỗ ngồi</t>
  </si>
  <si>
    <t>458,25m</t>
  </si>
  <si>
    <t>901,5m</t>
  </si>
  <si>
    <t>900m</t>
  </si>
  <si>
    <t>Trường THCS Bình Trị; Hạng mục: xây dựng dãy 04 phòng học</t>
  </si>
  <si>
    <t>7974568</t>
  </si>
  <si>
    <t>04 phòng 02 tầng; 
diện tích sàn 431,48m2</t>
  </si>
  <si>
    <t>884/QĐ-UBND
ngày 09/9/2022</t>
  </si>
  <si>
    <t>Kế hoạch vốn năm 2023</t>
  </si>
  <si>
    <t>380m</t>
  </si>
  <si>
    <t>100m3</t>
  </si>
  <si>
    <t>Khu thể thao và trang thiết bị thể thao trung tâm xã</t>
  </si>
  <si>
    <t>2000m2</t>
  </si>
  <si>
    <t>1700m2</t>
  </si>
  <si>
    <t>XII</t>
  </si>
  <si>
    <t>PHỤ LỤC</t>
  </si>
  <si>
    <t>509,38m</t>
  </si>
  <si>
    <r>
      <t>Sân nền: 300m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</si>
  <si>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(Kèm theo Tờ trình số           /TTr-UBND ngày        tháng 3 năm 2023 của UBND huyện Bình Sơn)</t>
  </si>
  <si>
    <t>Quy mô</t>
  </si>
  <si>
    <t>KCH kênh Vũng Trâm</t>
  </si>
  <si>
    <t>KẾ HOẠCH ĐẦU TƯ CÔNG NĂM 2023 (ĐỢT 1) THỰC HIỆN CHƯƠNG TRÌNH MTQG XÂY DỰNG NÔNG THÔN MỚI (CÁC XÃ) 
NGUỒN VỐN NGÂN SÁCH TRUNG ƯƠNG VÀ NGÂN SÁCH HUYỆN</t>
  </si>
  <si>
    <t>40/QĐ-UBND
ngày 22/02/2023</t>
  </si>
  <si>
    <t>Kế hoạch vốn đã bố trí đến tháng 02/2023 (NSTW, tỉnh, huyện)</t>
  </si>
  <si>
    <t>460m</t>
  </si>
  <si>
    <t>392/QĐ-UBND
ngày 21/02/2022</t>
  </si>
  <si>
    <t>KCH kênh vượt cấp Trạm Bơm - Ruộng Gò</t>
  </si>
  <si>
    <t>634,8m</t>
  </si>
  <si>
    <t>KCH kênh Hố Bòng - Cống Đầu Bầu</t>
  </si>
  <si>
    <t>776m</t>
  </si>
  <si>
    <t>83/QĐ-UBND
ngày 22/02/2023</t>
  </si>
  <si>
    <t>(Kèm theo Tờ trình số        /TTr-UBND ngày          tháng 3 năm 2023 của UBND huyện Bình Sơn)</t>
  </si>
  <si>
    <t>Tuyến đường nhà Bà Lê đi Đập Đông Bình</t>
  </si>
  <si>
    <t>Diện tích 120m2</t>
  </si>
  <si>
    <t>67/QĐ-UBND
ngày 27/2/2023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</si>
</sst>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_(* #,##0.0_);_(* \(#,##0.0\);_(* &quot;-&quot;?_);_(@_)"/>
    <numFmt numFmtId="168" formatCode="#,##0;[Red]#,##0"/>
    <numFmt numFmtId="169" formatCode="0;[Red]0"/>
    <numFmt numFmtId="170" formatCode="#,##0.00;[Red]#,##0.00"/>
    <numFmt numFmtId="171" formatCode="#,##0\ &quot;þ&quot;;[Red]\-#,##0\ &quot;þ&quot;"/>
    <numFmt numFmtId="172" formatCode="[$-409]dddd\,\ mmmm\ d\,\ yyyy"/>
    <numFmt numFmtId="173" formatCode="[$-409]h:mm:ss\ AM/PM"/>
    <numFmt numFmtId="174" formatCode="#,##0.0;[Red]#,##0.0"/>
    <numFmt numFmtId="175" formatCode="#,##0.000"/>
    <numFmt numFmtId="176" formatCode="#,##0.0000"/>
    <numFmt numFmtId="177" formatCode="0.0"/>
    <numFmt numFmtId="178" formatCode="0.000"/>
    <numFmt numFmtId="179" formatCode="#,##0.00000"/>
    <numFmt numFmtId="180" formatCode="0.0000"/>
    <numFmt numFmtId="181" formatCode="0.00000"/>
    <numFmt numFmtId="182" formatCode="0.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mbria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12" fillId="0" borderId="0" xfId="0" applyFont="1" applyAlignment="1">
      <alignment/>
    </xf>
    <xf numFmtId="0" fontId="6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33" borderId="0" xfId="68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14" fillId="33" borderId="0" xfId="68" applyFont="1" applyFill="1" applyAlignment="1">
      <alignment horizontal="center" vertical="center" wrapText="1"/>
      <protection/>
    </xf>
    <xf numFmtId="0" fontId="14" fillId="33" borderId="0" xfId="68" applyFont="1" applyFill="1" applyAlignment="1">
      <alignment vertical="center" wrapText="1"/>
      <protection/>
    </xf>
    <xf numFmtId="0" fontId="15" fillId="33" borderId="0" xfId="68" applyFont="1" applyFill="1" applyAlignment="1">
      <alignment horizontal="center" vertical="center" wrapText="1"/>
      <protection/>
    </xf>
    <xf numFmtId="49" fontId="15" fillId="33" borderId="0" xfId="68" applyNumberFormat="1" applyFont="1" applyFill="1" applyAlignment="1">
      <alignment horizontal="center" vertical="center" wrapText="1"/>
      <protection/>
    </xf>
    <xf numFmtId="1" fontId="14" fillId="33" borderId="0" xfId="68" applyNumberFormat="1" applyFont="1" applyFill="1" applyAlignment="1">
      <alignment horizontal="center" vertical="center" wrapText="1"/>
      <protection/>
    </xf>
    <xf numFmtId="4" fontId="14" fillId="33" borderId="0" xfId="68" applyNumberFormat="1" applyFont="1" applyFill="1" applyAlignment="1">
      <alignment vertical="center" wrapText="1"/>
      <protection/>
    </xf>
    <xf numFmtId="4" fontId="14" fillId="33" borderId="0" xfId="68" applyNumberFormat="1" applyFont="1" applyFill="1" applyAlignment="1">
      <alignment horizontal="right" vertical="center" wrapText="1"/>
      <protection/>
    </xf>
    <xf numFmtId="4" fontId="10" fillId="33" borderId="10" xfId="67" applyNumberFormat="1" applyFont="1" applyFill="1" applyBorder="1" applyAlignment="1">
      <alignment horizontal="center" vertical="center" wrapText="1"/>
      <protection/>
    </xf>
    <xf numFmtId="4" fontId="10" fillId="33" borderId="11" xfId="67" applyNumberFormat="1" applyFont="1" applyFill="1" applyBorder="1" applyAlignment="1">
      <alignment horizontal="center" vertical="center" wrapText="1"/>
      <protection/>
    </xf>
    <xf numFmtId="4" fontId="10" fillId="33" borderId="12" xfId="48" applyNumberFormat="1" applyFont="1" applyFill="1" applyBorder="1" applyAlignment="1">
      <alignment horizontal="center" vertical="center" wrapText="1"/>
    </xf>
    <xf numFmtId="0" fontId="16" fillId="33" borderId="13" xfId="68" applyFont="1" applyFill="1" applyBorder="1" applyAlignment="1">
      <alignment horizontal="center" vertical="center" wrapText="1"/>
      <protection/>
    </xf>
    <xf numFmtId="49" fontId="16" fillId="33" borderId="13" xfId="68" applyNumberFormat="1" applyFont="1" applyFill="1" applyBorder="1" applyAlignment="1">
      <alignment horizontal="center" vertical="center" wrapText="1"/>
      <protection/>
    </xf>
    <xf numFmtId="1" fontId="16" fillId="33" borderId="13" xfId="68" applyNumberFormat="1" applyFont="1" applyFill="1" applyBorder="1" applyAlignment="1">
      <alignment horizontal="center" vertical="center" wrapText="1"/>
      <protection/>
    </xf>
    <xf numFmtId="3" fontId="16" fillId="33" borderId="13" xfId="67" applyNumberFormat="1" applyFont="1" applyFill="1" applyBorder="1" applyAlignment="1">
      <alignment horizontal="center" vertical="center" wrapText="1"/>
      <protection/>
    </xf>
    <xf numFmtId="0" fontId="10" fillId="33" borderId="13" xfId="68" applyFont="1" applyFill="1" applyBorder="1" applyAlignment="1">
      <alignment horizontal="center" vertical="center" wrapText="1"/>
      <protection/>
    </xf>
    <xf numFmtId="49" fontId="10" fillId="33" borderId="13" xfId="68" applyNumberFormat="1" applyFont="1" applyFill="1" applyBorder="1" applyAlignment="1">
      <alignment horizontal="center" vertical="center" wrapText="1"/>
      <protection/>
    </xf>
    <xf numFmtId="1" fontId="10" fillId="33" borderId="13" xfId="68" applyNumberFormat="1" applyFont="1" applyFill="1" applyBorder="1" applyAlignment="1">
      <alignment horizontal="center" vertical="center" wrapText="1"/>
      <protection/>
    </xf>
    <xf numFmtId="165" fontId="10" fillId="33" borderId="13" xfId="67" applyNumberFormat="1" applyFont="1" applyFill="1" applyBorder="1" applyAlignment="1">
      <alignment horizontal="right" vertical="center" wrapText="1"/>
      <protection/>
    </xf>
    <xf numFmtId="4" fontId="10" fillId="33" borderId="13" xfId="0" applyNumberFormat="1" applyFont="1" applyFill="1" applyBorder="1" applyAlignment="1" quotePrefix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65" fontId="10" fillId="33" borderId="13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14" fontId="6" fillId="33" borderId="13" xfId="67" applyNumberFormat="1" applyFont="1" applyFill="1" applyBorder="1" applyAlignment="1">
      <alignment horizontal="center" vertical="center" wrapText="1"/>
      <protection/>
    </xf>
    <xf numFmtId="49" fontId="6" fillId="33" borderId="13" xfId="65" applyNumberFormat="1" applyFont="1" applyFill="1" applyBorder="1" applyAlignment="1">
      <alignment horizontal="center" vertical="center" wrapText="1"/>
      <protection/>
    </xf>
    <xf numFmtId="49" fontId="6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65" fontId="6" fillId="33" borderId="13" xfId="0" applyNumberFormat="1" applyFont="1" applyFill="1" applyBorder="1" applyAlignment="1">
      <alignment vertical="center" wrapText="1"/>
    </xf>
    <xf numFmtId="165" fontId="6" fillId="33" borderId="13" xfId="42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10" fillId="33" borderId="13" xfId="66" applyFont="1" applyFill="1" applyBorder="1" applyAlignment="1">
      <alignment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vertical="center"/>
    </xf>
    <xf numFmtId="165" fontId="10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3" xfId="66" applyFont="1" applyFill="1" applyBorder="1" applyAlignment="1">
      <alignment horizontal="center" vertical="center" wrapText="1"/>
      <protection/>
    </xf>
    <xf numFmtId="49" fontId="6" fillId="33" borderId="13" xfId="66" applyNumberFormat="1" applyFont="1" applyFill="1" applyBorder="1" applyAlignment="1">
      <alignment horizontal="center" vertical="center" wrapText="1"/>
      <protection/>
    </xf>
    <xf numFmtId="165" fontId="6" fillId="33" borderId="13" xfId="0" applyNumberFormat="1" applyFont="1" applyFill="1" applyBorder="1" applyAlignment="1">
      <alignment horizontal="center" vertical="center"/>
    </xf>
    <xf numFmtId="165" fontId="6" fillId="33" borderId="13" xfId="0" applyNumberFormat="1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4" fontId="10" fillId="33" borderId="13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10" fillId="33" borderId="13" xfId="68" applyFont="1" applyFill="1" applyBorder="1" applyAlignment="1">
      <alignment vertical="center" wrapText="1"/>
      <protection/>
    </xf>
    <xf numFmtId="0" fontId="6" fillId="33" borderId="13" xfId="68" applyFont="1" applyFill="1" applyBorder="1" applyAlignment="1">
      <alignment horizontal="center" vertical="center" wrapText="1"/>
      <protection/>
    </xf>
    <xf numFmtId="49" fontId="6" fillId="33" borderId="13" xfId="68" applyNumberFormat="1" applyFont="1" applyFill="1" applyBorder="1" applyAlignment="1">
      <alignment horizontal="center" vertical="center" wrapText="1"/>
      <protection/>
    </xf>
    <xf numFmtId="165" fontId="10" fillId="33" borderId="13" xfId="67" applyNumberFormat="1" applyFont="1" applyFill="1" applyBorder="1" applyAlignment="1">
      <alignment vertical="center" wrapText="1"/>
      <protection/>
    </xf>
    <xf numFmtId="49" fontId="6" fillId="33" borderId="13" xfId="65" applyNumberFormat="1" applyFont="1" applyFill="1" applyBorder="1" applyAlignment="1">
      <alignment horizontal="center" vertical="center"/>
      <protection/>
    </xf>
    <xf numFmtId="1" fontId="6" fillId="33" borderId="13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 quotePrefix="1">
      <alignment horizontal="center" vertical="center"/>
    </xf>
    <xf numFmtId="4" fontId="10" fillId="33" borderId="13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4" fontId="10" fillId="33" borderId="13" xfId="67" applyNumberFormat="1" applyFont="1" applyFill="1" applyBorder="1" applyAlignment="1">
      <alignment vertical="center" wrapText="1"/>
      <protection/>
    </xf>
    <xf numFmtId="49" fontId="10" fillId="33" borderId="13" xfId="0" applyNumberFormat="1" applyFont="1" applyFill="1" applyBorder="1" applyAlignment="1">
      <alignment vertical="center"/>
    </xf>
    <xf numFmtId="49" fontId="6" fillId="33" borderId="13" xfId="67" applyNumberFormat="1" applyFont="1" applyFill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" fontId="6" fillId="33" borderId="13" xfId="0" applyNumberFormat="1" applyFont="1" applyFill="1" applyBorder="1" applyAlignment="1">
      <alignment vertical="center"/>
    </xf>
    <xf numFmtId="165" fontId="10" fillId="33" borderId="13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65" fontId="10" fillId="33" borderId="13" xfId="0" applyNumberFormat="1" applyFont="1" applyFill="1" applyBorder="1" applyAlignment="1">
      <alignment horizontal="right" vertical="center"/>
    </xf>
    <xf numFmtId="165" fontId="6" fillId="33" borderId="13" xfId="51" applyNumberFormat="1" applyFont="1" applyFill="1" applyBorder="1" applyAlignment="1">
      <alignment vertical="center" wrapText="1"/>
    </xf>
    <xf numFmtId="165" fontId="6" fillId="33" borderId="13" xfId="51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/>
    </xf>
    <xf numFmtId="165" fontId="6" fillId="33" borderId="13" xfId="46" applyNumberFormat="1" applyFont="1" applyFill="1" applyBorder="1" applyAlignment="1">
      <alignment vertical="center" wrapText="1"/>
    </xf>
    <xf numFmtId="165" fontId="6" fillId="33" borderId="13" xfId="46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center" vertical="center" wrapText="1"/>
    </xf>
    <xf numFmtId="174" fontId="6" fillId="33" borderId="13" xfId="0" applyNumberFormat="1" applyFont="1" applyFill="1" applyBorder="1" applyAlignment="1">
      <alignment vertical="center" wrapText="1"/>
    </xf>
    <xf numFmtId="174" fontId="6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14" fontId="6" fillId="33" borderId="13" xfId="67" applyNumberFormat="1" applyFont="1" applyFill="1" applyBorder="1" applyAlignment="1">
      <alignment horizontal="center" vertical="center" wrapText="1"/>
      <protection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65" fontId="6" fillId="33" borderId="13" xfId="0" applyNumberFormat="1" applyFont="1" applyFill="1" applyBorder="1" applyAlignment="1">
      <alignment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1" fontId="6" fillId="33" borderId="13" xfId="67" applyNumberFormat="1" applyFont="1" applyFill="1" applyBorder="1" applyAlignment="1">
      <alignment vertical="center" wrapText="1"/>
      <protection/>
    </xf>
    <xf numFmtId="1" fontId="6" fillId="33" borderId="13" xfId="67" applyNumberFormat="1" applyFont="1" applyFill="1" applyBorder="1" applyAlignment="1">
      <alignment horizontal="center" vertical="center" wrapText="1"/>
      <protection/>
    </xf>
    <xf numFmtId="165" fontId="6" fillId="33" borderId="13" xfId="0" applyNumberFormat="1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3" xfId="46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1" fontId="6" fillId="33" borderId="13" xfId="67" applyNumberFormat="1" applyFont="1" applyFill="1" applyBorder="1" applyAlignment="1" quotePrefix="1">
      <alignment horizontal="center" vertical="center" wrapText="1"/>
      <protection/>
    </xf>
    <xf numFmtId="0" fontId="6" fillId="33" borderId="13" xfId="66" applyFont="1" applyFill="1" applyBorder="1" applyAlignment="1">
      <alignment horizontal="center" vertical="center" wrapText="1"/>
      <protection/>
    </xf>
    <xf numFmtId="0" fontId="6" fillId="33" borderId="13" xfId="66" applyFont="1" applyFill="1" applyBorder="1" applyAlignment="1">
      <alignment horizontal="left" vertical="center" wrapText="1"/>
      <protection/>
    </xf>
    <xf numFmtId="49" fontId="6" fillId="33" borderId="13" xfId="66" applyNumberFormat="1" applyFont="1" applyFill="1" applyBorder="1" applyAlignment="1">
      <alignment horizontal="center" vertical="center" wrapText="1"/>
      <protection/>
    </xf>
    <xf numFmtId="1" fontId="6" fillId="33" borderId="13" xfId="50" applyNumberFormat="1" applyFont="1" applyFill="1" applyBorder="1" applyAlignment="1">
      <alignment horizontal="center" vertical="center" wrapText="1"/>
    </xf>
    <xf numFmtId="165" fontId="6" fillId="33" borderId="13" xfId="66" applyNumberFormat="1" applyFont="1" applyFill="1" applyBorder="1" applyAlignment="1">
      <alignment vertical="center" wrapText="1"/>
      <protection/>
    </xf>
    <xf numFmtId="165" fontId="6" fillId="33" borderId="13" xfId="50" applyNumberFormat="1" applyFont="1" applyFill="1" applyBorder="1" applyAlignment="1">
      <alignment horizontal="right" vertical="center" wrapText="1"/>
    </xf>
    <xf numFmtId="165" fontId="6" fillId="33" borderId="13" xfId="66" applyNumberFormat="1" applyFont="1" applyFill="1" applyBorder="1" applyAlignment="1">
      <alignment horizontal="right" vertical="center" wrapText="1"/>
      <protection/>
    </xf>
    <xf numFmtId="0" fontId="6" fillId="33" borderId="13" xfId="66" applyFont="1" applyFill="1" applyBorder="1" applyAlignment="1">
      <alignment vertical="center" wrapText="1"/>
      <protection/>
    </xf>
    <xf numFmtId="0" fontId="6" fillId="33" borderId="13" xfId="66" applyFont="1" applyFill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165" fontId="20" fillId="0" borderId="13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65" fontId="6" fillId="33" borderId="13" xfId="46" applyNumberFormat="1" applyFont="1" applyFill="1" applyBorder="1" applyAlignment="1">
      <alignment vertical="center"/>
    </xf>
    <xf numFmtId="165" fontId="9" fillId="0" borderId="0" xfId="0" applyNumberFormat="1" applyFont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165" fontId="6" fillId="33" borderId="13" xfId="51" applyNumberFormat="1" applyFont="1" applyFill="1" applyBorder="1" applyAlignment="1">
      <alignment vertical="center" wrapText="1"/>
    </xf>
    <xf numFmtId="165" fontId="6" fillId="33" borderId="13" xfId="51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/>
    </xf>
    <xf numFmtId="165" fontId="8" fillId="33" borderId="0" xfId="0" applyNumberFormat="1" applyFont="1" applyFill="1" applyAlignment="1">
      <alignment/>
    </xf>
    <xf numFmtId="0" fontId="13" fillId="33" borderId="0" xfId="68" applyFont="1" applyFill="1" applyAlignment="1">
      <alignment horizontal="center" vertical="center" wrapText="1"/>
      <protection/>
    </xf>
    <xf numFmtId="0" fontId="17" fillId="33" borderId="0" xfId="68" applyFont="1" applyFill="1" applyAlignment="1">
      <alignment horizontal="center" vertical="center" wrapText="1"/>
      <protection/>
    </xf>
    <xf numFmtId="0" fontId="18" fillId="33" borderId="0" xfId="68" applyFont="1" applyFill="1" applyAlignment="1">
      <alignment horizontal="center" vertical="center" wrapText="1"/>
      <protection/>
    </xf>
    <xf numFmtId="0" fontId="10" fillId="33" borderId="13" xfId="68" applyFont="1" applyFill="1" applyBorder="1" applyAlignment="1">
      <alignment horizontal="center" vertical="center" wrapText="1"/>
      <protection/>
    </xf>
    <xf numFmtId="1" fontId="10" fillId="33" borderId="14" xfId="68" applyNumberFormat="1" applyFont="1" applyFill="1" applyBorder="1" applyAlignment="1">
      <alignment horizontal="center" vertical="center" wrapText="1"/>
      <protection/>
    </xf>
    <xf numFmtId="1" fontId="10" fillId="33" borderId="15" xfId="68" applyNumberFormat="1" applyFont="1" applyFill="1" applyBorder="1" applyAlignment="1">
      <alignment horizontal="center" vertical="center" wrapText="1"/>
      <protection/>
    </xf>
    <xf numFmtId="1" fontId="10" fillId="33" borderId="11" xfId="68" applyNumberFormat="1" applyFont="1" applyFill="1" applyBorder="1" applyAlignment="1">
      <alignment horizontal="center" vertical="center" wrapText="1"/>
      <protection/>
    </xf>
    <xf numFmtId="0" fontId="10" fillId="33" borderId="14" xfId="68" applyFont="1" applyFill="1" applyBorder="1" applyAlignment="1">
      <alignment horizontal="center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33" borderId="11" xfId="68" applyFont="1" applyFill="1" applyBorder="1" applyAlignment="1">
      <alignment horizontal="center" vertical="center" wrapText="1"/>
      <protection/>
    </xf>
    <xf numFmtId="4" fontId="10" fillId="33" borderId="14" xfId="48" applyNumberFormat="1" applyFont="1" applyFill="1" applyBorder="1" applyAlignment="1">
      <alignment horizontal="center" vertical="center" wrapText="1"/>
    </xf>
    <xf numFmtId="4" fontId="10" fillId="33" borderId="15" xfId="48" applyNumberFormat="1" applyFont="1" applyFill="1" applyBorder="1" applyAlignment="1">
      <alignment horizontal="center" vertical="center" wrapText="1"/>
    </xf>
    <xf numFmtId="4" fontId="10" fillId="33" borderId="11" xfId="48" applyNumberFormat="1" applyFont="1" applyFill="1" applyBorder="1" applyAlignment="1">
      <alignment horizontal="center" vertical="center" wrapText="1"/>
    </xf>
    <xf numFmtId="49" fontId="10" fillId="33" borderId="14" xfId="68" applyNumberFormat="1" applyFont="1" applyFill="1" applyBorder="1" applyAlignment="1">
      <alignment horizontal="center" vertical="center" wrapText="1"/>
      <protection/>
    </xf>
    <xf numFmtId="49" fontId="10" fillId="33" borderId="15" xfId="68" applyNumberFormat="1" applyFont="1" applyFill="1" applyBorder="1" applyAlignment="1">
      <alignment horizontal="center" vertical="center" wrapText="1"/>
      <protection/>
    </xf>
    <xf numFmtId="49" fontId="10" fillId="33" borderId="11" xfId="68" applyNumberFormat="1" applyFont="1" applyFill="1" applyBorder="1" applyAlignment="1">
      <alignment horizontal="center" vertical="center" wrapText="1"/>
      <protection/>
    </xf>
    <xf numFmtId="4" fontId="10" fillId="33" borderId="13" xfId="48" applyNumberFormat="1" applyFont="1" applyFill="1" applyBorder="1" applyAlignment="1">
      <alignment horizontal="center" vertical="center" wrapText="1"/>
    </xf>
    <xf numFmtId="4" fontId="10" fillId="33" borderId="15" xfId="67" applyNumberFormat="1" applyFont="1" applyFill="1" applyBorder="1" applyAlignment="1">
      <alignment horizontal="center" vertical="center" wrapText="1"/>
      <protection/>
    </xf>
    <xf numFmtId="4" fontId="10" fillId="33" borderId="11" xfId="67" applyNumberFormat="1" applyFont="1" applyFill="1" applyBorder="1" applyAlignment="1">
      <alignment horizontal="center" vertical="center" wrapText="1"/>
      <protection/>
    </xf>
    <xf numFmtId="4" fontId="10" fillId="33" borderId="16" xfId="48" applyNumberFormat="1" applyFont="1" applyFill="1" applyBorder="1" applyAlignment="1">
      <alignment horizontal="center" vertical="center" wrapText="1"/>
    </xf>
    <xf numFmtId="4" fontId="10" fillId="33" borderId="17" xfId="48" applyNumberFormat="1" applyFont="1" applyFill="1" applyBorder="1" applyAlignment="1">
      <alignment horizontal="center" vertical="center" wrapText="1"/>
    </xf>
    <xf numFmtId="4" fontId="10" fillId="33" borderId="18" xfId="48" applyNumberFormat="1" applyFont="1" applyFill="1" applyBorder="1" applyAlignment="1">
      <alignment horizontal="center" vertical="center" wrapText="1"/>
    </xf>
    <xf numFmtId="4" fontId="19" fillId="33" borderId="19" xfId="68" applyNumberFormat="1" applyFont="1" applyFill="1" applyBorder="1" applyAlignment="1">
      <alignment horizontal="center" vertical="center" wrapText="1"/>
      <protection/>
    </xf>
    <xf numFmtId="4" fontId="10" fillId="33" borderId="20" xfId="48" applyNumberFormat="1" applyFont="1" applyFill="1" applyBorder="1" applyAlignment="1">
      <alignment horizontal="center" vertical="center" wrapText="1"/>
    </xf>
    <xf numFmtId="4" fontId="10" fillId="33" borderId="21" xfId="48" applyNumberFormat="1" applyFont="1" applyFill="1" applyBorder="1" applyAlignment="1">
      <alignment horizontal="center" vertical="center" wrapText="1"/>
    </xf>
    <xf numFmtId="4" fontId="10" fillId="33" borderId="22" xfId="48" applyNumberFormat="1" applyFont="1" applyFill="1" applyBorder="1" applyAlignment="1">
      <alignment horizontal="center" vertical="center" wrapText="1"/>
    </xf>
    <xf numFmtId="4" fontId="10" fillId="33" borderId="12" xfId="48" applyNumberFormat="1" applyFont="1" applyFill="1" applyBorder="1" applyAlignment="1">
      <alignment horizontal="center" vertical="center" wrapText="1"/>
    </xf>
    <xf numFmtId="4" fontId="10" fillId="33" borderId="19" xfId="48" applyNumberFormat="1" applyFont="1" applyFill="1" applyBorder="1" applyAlignment="1">
      <alignment horizontal="center" vertical="center" wrapText="1"/>
    </xf>
    <xf numFmtId="4" fontId="10" fillId="33" borderId="10" xfId="48" applyNumberFormat="1" applyFont="1" applyFill="1" applyBorder="1" applyAlignment="1">
      <alignment horizontal="center" vertical="center" wrapText="1"/>
    </xf>
    <xf numFmtId="4" fontId="10" fillId="33" borderId="14" xfId="67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4" xfId="46"/>
    <cellStyle name="Comma 2" xfId="47"/>
    <cellStyle name="Comma 2 2" xfId="48"/>
    <cellStyle name="Comma 3" xfId="49"/>
    <cellStyle name="Comma 6" xfId="50"/>
    <cellStyle name="Comma 8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3" xfId="65"/>
    <cellStyle name="Normal 5" xfId="66"/>
    <cellStyle name="Normal_Bieu mau (CV )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1" zoomScaleNormal="71" zoomScalePageLayoutView="0" workbookViewId="0" topLeftCell="A15">
      <selection activeCell="L24" sqref="L24"/>
    </sheetView>
  </sheetViews>
  <sheetFormatPr defaultColWidth="9.140625" defaultRowHeight="12.75"/>
  <cols>
    <col min="1" max="1" width="7.140625" style="2" customWidth="1"/>
    <col min="2" max="2" width="35.57421875" style="10" customWidth="1"/>
    <col min="3" max="3" width="13.421875" style="11" customWidth="1"/>
    <col min="4" max="4" width="11.57421875" style="11" hidden="1" customWidth="1"/>
    <col min="5" max="5" width="12.57421875" style="11" hidden="1" customWidth="1"/>
    <col min="6" max="6" width="10.57421875" style="12" hidden="1" customWidth="1"/>
    <col min="7" max="7" width="11.57421875" style="12" hidden="1" customWidth="1"/>
    <col min="8" max="8" width="15.140625" style="11" customWidth="1"/>
    <col min="9" max="9" width="19.00390625" style="2" hidden="1" customWidth="1"/>
    <col min="10" max="10" width="19.00390625" style="2" customWidth="1"/>
    <col min="11" max="11" width="13.140625" style="13" customWidth="1"/>
    <col min="12" max="12" width="17.421875" style="13" customWidth="1"/>
    <col min="13" max="13" width="12.8515625" style="14" customWidth="1"/>
    <col min="14" max="14" width="11.8515625" style="15" customWidth="1"/>
    <col min="15" max="15" width="11.7109375" style="15" bestFit="1" customWidth="1"/>
    <col min="16" max="16" width="10.7109375" style="15" bestFit="1" customWidth="1"/>
    <col min="17" max="17" width="13.00390625" style="15" customWidth="1"/>
    <col min="18" max="18" width="12.140625" style="15" customWidth="1"/>
    <col min="19" max="19" width="11.00390625" style="15" customWidth="1"/>
    <col min="20" max="20" width="9.421875" style="15" customWidth="1"/>
    <col min="21" max="21" width="9.140625" style="15" customWidth="1"/>
    <col min="22" max="22" width="8.140625" style="2" customWidth="1"/>
    <col min="23" max="23" width="10.140625" style="2" bestFit="1" customWidth="1"/>
    <col min="24" max="16384" width="9.140625" style="2" customWidth="1"/>
  </cols>
  <sheetData>
    <row r="1" spans="1:22" ht="24.75" customHeight="1">
      <c r="A1" s="161" t="s">
        <v>203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48" customHeight="1">
      <c r="A2" s="162" t="s">
        <v>209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27.75" customHeight="1" hidden="1">
      <c r="A3" s="160" t="s">
        <v>89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24"/>
      <c r="U3" s="24"/>
      <c r="V3" s="25"/>
    </row>
    <row r="4" spans="1:22" ht="25.5" customHeight="1" hidden="1">
      <c r="A4" s="160" t="s">
        <v>206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ht="25.5" customHeight="1" hidden="1">
      <c r="A5" s="160" t="s">
        <v>108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ht="25.5" customHeight="1">
      <c r="A6" s="160" t="s">
        <v>219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</row>
    <row r="7" spans="1:22" ht="25.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</row>
    <row r="8" spans="1:22" ht="26.25" customHeight="1">
      <c r="A8" s="26"/>
      <c r="B8" s="27"/>
      <c r="C8" s="28"/>
      <c r="D8" s="28"/>
      <c r="E8" s="28"/>
      <c r="F8" s="29"/>
      <c r="G8" s="29"/>
      <c r="H8" s="28"/>
      <c r="I8" s="26"/>
      <c r="J8" s="26"/>
      <c r="K8" s="30"/>
      <c r="L8" s="30"/>
      <c r="M8" s="31"/>
      <c r="N8" s="32"/>
      <c r="O8" s="32"/>
      <c r="P8" s="32"/>
      <c r="Q8" s="182" t="s">
        <v>45</v>
      </c>
      <c r="R8" s="182"/>
      <c r="S8" s="182"/>
      <c r="T8" s="182"/>
      <c r="U8" s="182"/>
      <c r="V8" s="182"/>
    </row>
    <row r="9" spans="1:22" s="3" customFormat="1" ht="30" customHeight="1">
      <c r="A9" s="163" t="s">
        <v>0</v>
      </c>
      <c r="B9" s="163" t="s">
        <v>46</v>
      </c>
      <c r="C9" s="167" t="s">
        <v>1</v>
      </c>
      <c r="D9" s="167" t="s">
        <v>72</v>
      </c>
      <c r="E9" s="167" t="s">
        <v>63</v>
      </c>
      <c r="F9" s="173" t="s">
        <v>64</v>
      </c>
      <c r="G9" s="173" t="s">
        <v>110</v>
      </c>
      <c r="H9" s="167" t="s">
        <v>65</v>
      </c>
      <c r="I9" s="163" t="s">
        <v>177</v>
      </c>
      <c r="J9" s="163" t="s">
        <v>207</v>
      </c>
      <c r="K9" s="164" t="s">
        <v>30</v>
      </c>
      <c r="L9" s="176" t="s">
        <v>66</v>
      </c>
      <c r="M9" s="176"/>
      <c r="N9" s="176"/>
      <c r="O9" s="176"/>
      <c r="P9" s="176"/>
      <c r="Q9" s="170" t="s">
        <v>71</v>
      </c>
      <c r="R9" s="170" t="s">
        <v>211</v>
      </c>
      <c r="S9" s="183" t="s">
        <v>196</v>
      </c>
      <c r="T9" s="184"/>
      <c r="U9" s="185"/>
      <c r="V9" s="164" t="s">
        <v>70</v>
      </c>
    </row>
    <row r="10" spans="1:22" s="3" customFormat="1" ht="26.25" customHeight="1">
      <c r="A10" s="163"/>
      <c r="B10" s="163"/>
      <c r="C10" s="168"/>
      <c r="D10" s="168"/>
      <c r="E10" s="168"/>
      <c r="F10" s="174"/>
      <c r="G10" s="174"/>
      <c r="H10" s="168"/>
      <c r="I10" s="163"/>
      <c r="J10" s="163"/>
      <c r="K10" s="165"/>
      <c r="L10" s="177" t="s">
        <v>67</v>
      </c>
      <c r="M10" s="179" t="s">
        <v>32</v>
      </c>
      <c r="N10" s="180"/>
      <c r="O10" s="180"/>
      <c r="P10" s="181"/>
      <c r="Q10" s="171"/>
      <c r="R10" s="171"/>
      <c r="S10" s="186"/>
      <c r="T10" s="187"/>
      <c r="U10" s="188"/>
      <c r="V10" s="165"/>
    </row>
    <row r="11" spans="1:22" s="3" customFormat="1" ht="25.5" customHeight="1">
      <c r="A11" s="163"/>
      <c r="B11" s="163"/>
      <c r="C11" s="168"/>
      <c r="D11" s="168"/>
      <c r="E11" s="168"/>
      <c r="F11" s="174"/>
      <c r="G11" s="174"/>
      <c r="H11" s="168"/>
      <c r="I11" s="163"/>
      <c r="J11" s="163"/>
      <c r="K11" s="165"/>
      <c r="L11" s="177"/>
      <c r="M11" s="189" t="s">
        <v>10</v>
      </c>
      <c r="N11" s="186" t="s">
        <v>68</v>
      </c>
      <c r="O11" s="187"/>
      <c r="P11" s="188"/>
      <c r="Q11" s="171"/>
      <c r="R11" s="171"/>
      <c r="S11" s="170" t="s">
        <v>10</v>
      </c>
      <c r="T11" s="179" t="s">
        <v>68</v>
      </c>
      <c r="U11" s="181"/>
      <c r="V11" s="165"/>
    </row>
    <row r="12" spans="1:22" s="3" customFormat="1" ht="66.75" customHeight="1">
      <c r="A12" s="163"/>
      <c r="B12" s="163"/>
      <c r="C12" s="169"/>
      <c r="D12" s="169"/>
      <c r="E12" s="169"/>
      <c r="F12" s="175"/>
      <c r="G12" s="175"/>
      <c r="H12" s="169"/>
      <c r="I12" s="163"/>
      <c r="J12" s="163"/>
      <c r="K12" s="166"/>
      <c r="L12" s="178"/>
      <c r="M12" s="178"/>
      <c r="N12" s="33" t="s">
        <v>29</v>
      </c>
      <c r="O12" s="34" t="s">
        <v>31</v>
      </c>
      <c r="P12" s="34" t="s">
        <v>2</v>
      </c>
      <c r="Q12" s="172"/>
      <c r="R12" s="172"/>
      <c r="S12" s="172"/>
      <c r="T12" s="35" t="s">
        <v>90</v>
      </c>
      <c r="U12" s="35" t="s">
        <v>109</v>
      </c>
      <c r="V12" s="166"/>
    </row>
    <row r="13" spans="1:22" s="16" customFormat="1" ht="24.75" customHeight="1" hidden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7">
        <v>6</v>
      </c>
      <c r="G13" s="37">
        <v>6</v>
      </c>
      <c r="H13" s="36">
        <v>7</v>
      </c>
      <c r="I13" s="36">
        <v>8</v>
      </c>
      <c r="J13" s="36">
        <v>8</v>
      </c>
      <c r="K13" s="38">
        <v>9</v>
      </c>
      <c r="L13" s="38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6">
        <v>20</v>
      </c>
    </row>
    <row r="14" spans="1:23" s="3" customFormat="1" ht="30.75" customHeight="1">
      <c r="A14" s="163" t="s">
        <v>43</v>
      </c>
      <c r="B14" s="163"/>
      <c r="C14" s="40"/>
      <c r="D14" s="40"/>
      <c r="E14" s="40"/>
      <c r="F14" s="41"/>
      <c r="G14" s="41"/>
      <c r="H14" s="40"/>
      <c r="I14" s="40"/>
      <c r="J14" s="40"/>
      <c r="K14" s="42"/>
      <c r="L14" s="42"/>
      <c r="M14" s="43">
        <f aca="true" t="shared" si="0" ref="M14:U14">M15+M17+M20+M24+M27+M30+M34+M37+M40+M44+M47+M50+M53+M57+M59+M61</f>
        <v>45496</v>
      </c>
      <c r="N14" s="43">
        <f t="shared" si="0"/>
        <v>34197.4</v>
      </c>
      <c r="O14" s="43">
        <f t="shared" si="0"/>
        <v>7207.800000000001</v>
      </c>
      <c r="P14" s="43">
        <f t="shared" si="0"/>
        <v>4090.8</v>
      </c>
      <c r="Q14" s="43">
        <f t="shared" si="0"/>
        <v>41405.2</v>
      </c>
      <c r="R14" s="43">
        <f t="shared" si="0"/>
        <v>8813.6</v>
      </c>
      <c r="S14" s="43">
        <f t="shared" si="0"/>
        <v>17537.2</v>
      </c>
      <c r="T14" s="43">
        <f t="shared" si="0"/>
        <v>14400</v>
      </c>
      <c r="U14" s="43">
        <f t="shared" si="0"/>
        <v>3137.2000000000003</v>
      </c>
      <c r="V14" s="43"/>
      <c r="W14" s="154"/>
    </row>
    <row r="15" spans="1:22" s="4" customFormat="1" ht="33.75" customHeight="1">
      <c r="A15" s="44" t="s">
        <v>3</v>
      </c>
      <c r="B15" s="45" t="s">
        <v>47</v>
      </c>
      <c r="C15" s="46"/>
      <c r="D15" s="46"/>
      <c r="E15" s="46"/>
      <c r="F15" s="47"/>
      <c r="G15" s="47"/>
      <c r="H15" s="46"/>
      <c r="I15" s="46"/>
      <c r="J15" s="46"/>
      <c r="K15" s="48"/>
      <c r="L15" s="48"/>
      <c r="M15" s="49">
        <f>M16</f>
        <v>5570.6</v>
      </c>
      <c r="N15" s="49">
        <f aca="true" t="shared" si="1" ref="N15:U15">N16</f>
        <v>3899.4</v>
      </c>
      <c r="O15" s="49">
        <f t="shared" si="1"/>
        <v>1114.1</v>
      </c>
      <c r="P15" s="49">
        <f t="shared" si="1"/>
        <v>557.1</v>
      </c>
      <c r="Q15" s="49">
        <f t="shared" si="1"/>
        <v>5013.5</v>
      </c>
      <c r="R15" s="49">
        <f t="shared" si="1"/>
        <v>2673.8999999999996</v>
      </c>
      <c r="S15" s="49">
        <f t="shared" si="1"/>
        <v>900</v>
      </c>
      <c r="T15" s="49">
        <f t="shared" si="1"/>
        <v>900</v>
      </c>
      <c r="U15" s="49">
        <f t="shared" si="1"/>
        <v>0</v>
      </c>
      <c r="V15" s="49"/>
    </row>
    <row r="16" spans="1:22" s="5" customFormat="1" ht="42" customHeight="1">
      <c r="A16" s="50">
        <v>1</v>
      </c>
      <c r="B16" s="51" t="s">
        <v>44</v>
      </c>
      <c r="C16" s="50" t="s">
        <v>17</v>
      </c>
      <c r="D16" s="52" t="s">
        <v>73</v>
      </c>
      <c r="E16" s="53" t="s">
        <v>114</v>
      </c>
      <c r="F16" s="54">
        <v>221</v>
      </c>
      <c r="G16" s="54" t="s">
        <v>113</v>
      </c>
      <c r="H16" s="50" t="s">
        <v>94</v>
      </c>
      <c r="I16" s="50" t="s">
        <v>69</v>
      </c>
      <c r="J16" s="50" t="s">
        <v>69</v>
      </c>
      <c r="K16" s="55" t="s">
        <v>4</v>
      </c>
      <c r="L16" s="55" t="s">
        <v>88</v>
      </c>
      <c r="M16" s="56">
        <v>5570.6</v>
      </c>
      <c r="N16" s="57">
        <v>3899.4</v>
      </c>
      <c r="O16" s="57">
        <v>1114.1</v>
      </c>
      <c r="P16" s="57">
        <v>557.1</v>
      </c>
      <c r="Q16" s="57">
        <v>5013.5</v>
      </c>
      <c r="R16" s="57">
        <f>1559.8+1114.1</f>
        <v>2673.8999999999996</v>
      </c>
      <c r="S16" s="58">
        <f>T16</f>
        <v>900</v>
      </c>
      <c r="T16" s="58">
        <v>900</v>
      </c>
      <c r="U16" s="58"/>
      <c r="V16" s="50"/>
    </row>
    <row r="17" spans="1:22" s="19" customFormat="1" ht="28.5" customHeight="1">
      <c r="A17" s="46" t="s">
        <v>6</v>
      </c>
      <c r="B17" s="59" t="s">
        <v>48</v>
      </c>
      <c r="C17" s="60"/>
      <c r="D17" s="60"/>
      <c r="E17" s="60"/>
      <c r="F17" s="61"/>
      <c r="G17" s="61"/>
      <c r="H17" s="60"/>
      <c r="I17" s="62"/>
      <c r="J17" s="62"/>
      <c r="K17" s="63"/>
      <c r="L17" s="63"/>
      <c r="M17" s="64">
        <f>M18+M19</f>
        <v>7000</v>
      </c>
      <c r="N17" s="64">
        <f aca="true" t="shared" si="2" ref="N17:U17">N18+N19</f>
        <v>5028.2</v>
      </c>
      <c r="O17" s="64">
        <f t="shared" si="2"/>
        <v>1100</v>
      </c>
      <c r="P17" s="64">
        <f t="shared" si="2"/>
        <v>871.8000000000002</v>
      </c>
      <c r="Q17" s="64">
        <f t="shared" si="2"/>
        <v>6128.2</v>
      </c>
      <c r="R17" s="64">
        <f t="shared" si="2"/>
        <v>1911</v>
      </c>
      <c r="S17" s="64">
        <f t="shared" si="2"/>
        <v>900</v>
      </c>
      <c r="T17" s="64">
        <f t="shared" si="2"/>
        <v>900</v>
      </c>
      <c r="U17" s="64">
        <f t="shared" si="2"/>
        <v>0</v>
      </c>
      <c r="V17" s="65"/>
    </row>
    <row r="18" spans="1:22" s="18" customFormat="1" ht="53.25" customHeight="1">
      <c r="A18" s="60">
        <v>1</v>
      </c>
      <c r="B18" s="66" t="s">
        <v>178</v>
      </c>
      <c r="C18" s="67" t="s">
        <v>14</v>
      </c>
      <c r="D18" s="52" t="s">
        <v>73</v>
      </c>
      <c r="E18" s="68" t="s">
        <v>181</v>
      </c>
      <c r="F18" s="68" t="s">
        <v>75</v>
      </c>
      <c r="G18" s="68" t="s">
        <v>111</v>
      </c>
      <c r="H18" s="50" t="s">
        <v>95</v>
      </c>
      <c r="I18" s="69" t="s">
        <v>179</v>
      </c>
      <c r="J18" s="60" t="s">
        <v>180</v>
      </c>
      <c r="K18" s="55" t="s">
        <v>4</v>
      </c>
      <c r="L18" s="55" t="s">
        <v>182</v>
      </c>
      <c r="M18" s="70">
        <v>3000</v>
      </c>
      <c r="N18" s="71">
        <f>M18*0.8</f>
        <v>2400</v>
      </c>
      <c r="O18" s="71">
        <f>M18*10%</f>
        <v>300</v>
      </c>
      <c r="P18" s="71">
        <f>O18</f>
        <v>300</v>
      </c>
      <c r="Q18" s="71">
        <f>N18+O18</f>
        <v>2700</v>
      </c>
      <c r="R18" s="71">
        <f>350+O18</f>
        <v>650</v>
      </c>
      <c r="S18" s="71">
        <f>T18</f>
        <v>400</v>
      </c>
      <c r="T18" s="71">
        <v>400</v>
      </c>
      <c r="U18" s="72"/>
      <c r="V18" s="70"/>
    </row>
    <row r="19" spans="1:22" s="18" customFormat="1" ht="41.25" customHeight="1">
      <c r="A19" s="60">
        <v>2</v>
      </c>
      <c r="B19" s="51" t="s">
        <v>44</v>
      </c>
      <c r="C19" s="67" t="s">
        <v>14</v>
      </c>
      <c r="D19" s="52" t="s">
        <v>73</v>
      </c>
      <c r="E19" s="68" t="s">
        <v>115</v>
      </c>
      <c r="F19" s="68">
        <v>221</v>
      </c>
      <c r="G19" s="68" t="s">
        <v>113</v>
      </c>
      <c r="H19" s="50" t="s">
        <v>95</v>
      </c>
      <c r="I19" s="60" t="s">
        <v>85</v>
      </c>
      <c r="J19" s="60" t="s">
        <v>85</v>
      </c>
      <c r="K19" s="55" t="s">
        <v>4</v>
      </c>
      <c r="L19" s="55" t="s">
        <v>84</v>
      </c>
      <c r="M19" s="70">
        <v>4000</v>
      </c>
      <c r="N19" s="71">
        <v>2628.2</v>
      </c>
      <c r="O19" s="71">
        <f>M19*20%</f>
        <v>800</v>
      </c>
      <c r="P19" s="71">
        <f>M19-N19-O19</f>
        <v>571.8000000000002</v>
      </c>
      <c r="Q19" s="71">
        <f>N19+O19</f>
        <v>3428.2</v>
      </c>
      <c r="R19" s="71">
        <f>461+800</f>
        <v>1261</v>
      </c>
      <c r="S19" s="71">
        <f>T19</f>
        <v>500</v>
      </c>
      <c r="T19" s="71">
        <v>500</v>
      </c>
      <c r="U19" s="72"/>
      <c r="V19" s="70"/>
    </row>
    <row r="20" spans="1:22" s="8" customFormat="1" ht="28.5" customHeight="1">
      <c r="A20" s="44" t="s">
        <v>7</v>
      </c>
      <c r="B20" s="73" t="s">
        <v>49</v>
      </c>
      <c r="C20" s="74"/>
      <c r="D20" s="74"/>
      <c r="E20" s="74"/>
      <c r="F20" s="54"/>
      <c r="G20" s="54"/>
      <c r="H20" s="74"/>
      <c r="I20" s="75"/>
      <c r="J20" s="75"/>
      <c r="K20" s="48"/>
      <c r="L20" s="48"/>
      <c r="M20" s="49">
        <f aca="true" t="shared" si="3" ref="M20:U20">SUM(M21:M23)</f>
        <v>1450</v>
      </c>
      <c r="N20" s="49">
        <f t="shared" si="3"/>
        <v>1160</v>
      </c>
      <c r="O20" s="49">
        <f t="shared" si="3"/>
        <v>145</v>
      </c>
      <c r="P20" s="49">
        <f t="shared" si="3"/>
        <v>145</v>
      </c>
      <c r="Q20" s="49">
        <f t="shared" si="3"/>
        <v>1305</v>
      </c>
      <c r="R20" s="49">
        <f t="shared" si="3"/>
        <v>0</v>
      </c>
      <c r="S20" s="49">
        <f t="shared" si="3"/>
        <v>1045</v>
      </c>
      <c r="T20" s="49">
        <f t="shared" si="3"/>
        <v>900</v>
      </c>
      <c r="U20" s="49">
        <f t="shared" si="3"/>
        <v>145</v>
      </c>
      <c r="V20" s="73"/>
    </row>
    <row r="21" spans="1:22" s="127" customFormat="1" ht="38.25" customHeight="1">
      <c r="A21" s="118">
        <v>1</v>
      </c>
      <c r="B21" s="119" t="s">
        <v>184</v>
      </c>
      <c r="C21" s="120" t="s">
        <v>15</v>
      </c>
      <c r="D21" s="121" t="s">
        <v>73</v>
      </c>
      <c r="E21" s="120"/>
      <c r="F21" s="122" t="s">
        <v>75</v>
      </c>
      <c r="G21" s="122" t="s">
        <v>111</v>
      </c>
      <c r="H21" s="123" t="s">
        <v>96</v>
      </c>
      <c r="I21" s="120" t="s">
        <v>183</v>
      </c>
      <c r="J21" s="120" t="s">
        <v>204</v>
      </c>
      <c r="K21" s="124" t="s">
        <v>119</v>
      </c>
      <c r="L21" s="124" t="s">
        <v>120</v>
      </c>
      <c r="M21" s="125">
        <f>SUM(N21:P21)</f>
        <v>500</v>
      </c>
      <c r="N21" s="126">
        <v>400</v>
      </c>
      <c r="O21" s="126">
        <v>50</v>
      </c>
      <c r="P21" s="126">
        <v>50</v>
      </c>
      <c r="Q21" s="126">
        <f>N21+O21</f>
        <v>450</v>
      </c>
      <c r="R21" s="126"/>
      <c r="S21" s="126">
        <f>T21+U21</f>
        <v>400</v>
      </c>
      <c r="T21" s="126">
        <v>350</v>
      </c>
      <c r="U21" s="126">
        <f>O21</f>
        <v>50</v>
      </c>
      <c r="V21" s="126"/>
    </row>
    <row r="22" spans="1:22" s="127" customFormat="1" ht="39.75" customHeight="1">
      <c r="A22" s="118">
        <v>2</v>
      </c>
      <c r="B22" s="119" t="s">
        <v>117</v>
      </c>
      <c r="C22" s="120" t="s">
        <v>15</v>
      </c>
      <c r="D22" s="121" t="s">
        <v>73</v>
      </c>
      <c r="E22" s="120"/>
      <c r="F22" s="122" t="s">
        <v>75</v>
      </c>
      <c r="G22" s="122" t="s">
        <v>111</v>
      </c>
      <c r="H22" s="123" t="s">
        <v>96</v>
      </c>
      <c r="I22" s="120" t="s">
        <v>183</v>
      </c>
      <c r="J22" s="120" t="s">
        <v>183</v>
      </c>
      <c r="K22" s="124" t="s">
        <v>119</v>
      </c>
      <c r="L22" s="124" t="s">
        <v>121</v>
      </c>
      <c r="M22" s="125">
        <f>SUM(N22:P22)</f>
        <v>500</v>
      </c>
      <c r="N22" s="126">
        <v>400</v>
      </c>
      <c r="O22" s="126">
        <v>50</v>
      </c>
      <c r="P22" s="126">
        <v>50</v>
      </c>
      <c r="Q22" s="126">
        <f>N22+O22</f>
        <v>450</v>
      </c>
      <c r="R22" s="126"/>
      <c r="S22" s="126">
        <f>T22+U22</f>
        <v>400</v>
      </c>
      <c r="T22" s="126">
        <v>350</v>
      </c>
      <c r="U22" s="126">
        <f>O22</f>
        <v>50</v>
      </c>
      <c r="V22" s="128"/>
    </row>
    <row r="23" spans="1:22" s="127" customFormat="1" ht="45" customHeight="1">
      <c r="A23" s="118">
        <v>3</v>
      </c>
      <c r="B23" s="119" t="s">
        <v>208</v>
      </c>
      <c r="C23" s="120" t="s">
        <v>15</v>
      </c>
      <c r="D23" s="121" t="s">
        <v>73</v>
      </c>
      <c r="E23" s="120"/>
      <c r="F23" s="122" t="s">
        <v>76</v>
      </c>
      <c r="G23" s="122" t="s">
        <v>111</v>
      </c>
      <c r="H23" s="123" t="s">
        <v>96</v>
      </c>
      <c r="I23" s="120" t="s">
        <v>212</v>
      </c>
      <c r="J23" s="120" t="s">
        <v>183</v>
      </c>
      <c r="K23" s="124" t="s">
        <v>119</v>
      </c>
      <c r="L23" s="124" t="s">
        <v>222</v>
      </c>
      <c r="M23" s="125">
        <f>SUM(N23:P23)</f>
        <v>450</v>
      </c>
      <c r="N23" s="126">
        <v>360</v>
      </c>
      <c r="O23" s="126">
        <v>45</v>
      </c>
      <c r="P23" s="126">
        <v>45</v>
      </c>
      <c r="Q23" s="126">
        <f>N23+O23</f>
        <v>405</v>
      </c>
      <c r="R23" s="126"/>
      <c r="S23" s="126">
        <f>T23+U23</f>
        <v>245</v>
      </c>
      <c r="T23" s="126">
        <v>200</v>
      </c>
      <c r="U23" s="126">
        <f>O23</f>
        <v>45</v>
      </c>
      <c r="V23" s="128"/>
    </row>
    <row r="24" spans="1:22" s="18" customFormat="1" ht="31.5" customHeight="1">
      <c r="A24" s="40" t="s">
        <v>9</v>
      </c>
      <c r="B24" s="78" t="s">
        <v>50</v>
      </c>
      <c r="C24" s="79"/>
      <c r="D24" s="79"/>
      <c r="E24" s="79"/>
      <c r="F24" s="80"/>
      <c r="G24" s="80"/>
      <c r="H24" s="79"/>
      <c r="I24" s="40"/>
      <c r="J24" s="40"/>
      <c r="K24" s="42"/>
      <c r="L24" s="42"/>
      <c r="M24" s="81">
        <f>M26+M25</f>
        <v>7900</v>
      </c>
      <c r="N24" s="81">
        <f aca="true" t="shared" si="4" ref="N24:U24">N26+N25</f>
        <v>5770</v>
      </c>
      <c r="O24" s="81">
        <f t="shared" si="4"/>
        <v>1580</v>
      </c>
      <c r="P24" s="81">
        <f t="shared" si="4"/>
        <v>550</v>
      </c>
      <c r="Q24" s="81">
        <f t="shared" si="4"/>
        <v>7350</v>
      </c>
      <c r="R24" s="81">
        <f t="shared" si="4"/>
        <v>3030.6</v>
      </c>
      <c r="S24" s="81">
        <f t="shared" si="4"/>
        <v>900</v>
      </c>
      <c r="T24" s="81">
        <f t="shared" si="4"/>
        <v>900</v>
      </c>
      <c r="U24" s="81">
        <f t="shared" si="4"/>
        <v>0</v>
      </c>
      <c r="V24" s="81"/>
    </row>
    <row r="25" spans="1:22" s="23" customFormat="1" ht="54.75" customHeight="1">
      <c r="A25" s="60">
        <v>1</v>
      </c>
      <c r="B25" s="66" t="s">
        <v>192</v>
      </c>
      <c r="C25" s="60" t="s">
        <v>5</v>
      </c>
      <c r="D25" s="52" t="s">
        <v>73</v>
      </c>
      <c r="E25" s="82" t="s">
        <v>193</v>
      </c>
      <c r="F25" s="61" t="s">
        <v>77</v>
      </c>
      <c r="G25" s="61" t="s">
        <v>112</v>
      </c>
      <c r="H25" s="50" t="s">
        <v>97</v>
      </c>
      <c r="I25" s="50" t="s">
        <v>194</v>
      </c>
      <c r="J25" s="50" t="s">
        <v>194</v>
      </c>
      <c r="K25" s="83" t="s">
        <v>4</v>
      </c>
      <c r="L25" s="55" t="s">
        <v>195</v>
      </c>
      <c r="M25" s="70">
        <v>2400</v>
      </c>
      <c r="N25" s="71">
        <f>M25*0.8</f>
        <v>1920</v>
      </c>
      <c r="O25" s="71">
        <f>M25*20%</f>
        <v>480</v>
      </c>
      <c r="P25" s="71"/>
      <c r="Q25" s="58">
        <f>N25+O25</f>
        <v>2400</v>
      </c>
      <c r="R25" s="58">
        <f>610.6+O25</f>
        <v>1090.6</v>
      </c>
      <c r="S25" s="71">
        <f>T25</f>
        <v>400</v>
      </c>
      <c r="T25" s="71">
        <v>400</v>
      </c>
      <c r="U25" s="71"/>
      <c r="V25" s="56"/>
    </row>
    <row r="26" spans="1:22" s="23" customFormat="1" ht="67.5" customHeight="1">
      <c r="A26" s="60">
        <v>2</v>
      </c>
      <c r="B26" s="66" t="s">
        <v>8</v>
      </c>
      <c r="C26" s="60" t="s">
        <v>5</v>
      </c>
      <c r="D26" s="52" t="s">
        <v>73</v>
      </c>
      <c r="E26" s="82" t="s">
        <v>116</v>
      </c>
      <c r="F26" s="61" t="s">
        <v>79</v>
      </c>
      <c r="G26" s="61" t="s">
        <v>113</v>
      </c>
      <c r="H26" s="50" t="s">
        <v>97</v>
      </c>
      <c r="I26" s="50" t="s">
        <v>107</v>
      </c>
      <c r="J26" s="50" t="s">
        <v>107</v>
      </c>
      <c r="K26" s="83" t="s">
        <v>4</v>
      </c>
      <c r="L26" s="55" t="s">
        <v>81</v>
      </c>
      <c r="M26" s="70">
        <v>5500</v>
      </c>
      <c r="N26" s="71">
        <f>M26*0.7</f>
        <v>3849.9999999999995</v>
      </c>
      <c r="O26" s="71">
        <f>M26*20%</f>
        <v>1100</v>
      </c>
      <c r="P26" s="71">
        <f>M26*10%</f>
        <v>550</v>
      </c>
      <c r="Q26" s="58">
        <f>N26+O26</f>
        <v>4950</v>
      </c>
      <c r="R26" s="58">
        <f>840+1100</f>
        <v>1940</v>
      </c>
      <c r="S26" s="71">
        <f>T26</f>
        <v>500</v>
      </c>
      <c r="T26" s="71">
        <v>500</v>
      </c>
      <c r="U26" s="71"/>
      <c r="V26" s="56"/>
    </row>
    <row r="27" spans="1:22" s="18" customFormat="1" ht="28.5" customHeight="1">
      <c r="A27" s="84" t="s">
        <v>12</v>
      </c>
      <c r="B27" s="85" t="s">
        <v>51</v>
      </c>
      <c r="C27" s="86"/>
      <c r="D27" s="86"/>
      <c r="E27" s="86"/>
      <c r="F27" s="87"/>
      <c r="G27" s="87"/>
      <c r="H27" s="86"/>
      <c r="I27" s="86"/>
      <c r="J27" s="86"/>
      <c r="K27" s="88"/>
      <c r="L27" s="88"/>
      <c r="M27" s="64">
        <f>M28+M29</f>
        <v>3540</v>
      </c>
      <c r="N27" s="64">
        <f aca="true" t="shared" si="5" ref="N27:U27">N28+N29</f>
        <v>2832</v>
      </c>
      <c r="O27" s="64">
        <f t="shared" si="5"/>
        <v>354</v>
      </c>
      <c r="P27" s="64">
        <f t="shared" si="5"/>
        <v>354</v>
      </c>
      <c r="Q27" s="64">
        <f t="shared" si="5"/>
        <v>3186</v>
      </c>
      <c r="R27" s="64">
        <f t="shared" si="5"/>
        <v>0</v>
      </c>
      <c r="S27" s="64">
        <f t="shared" si="5"/>
        <v>1254</v>
      </c>
      <c r="T27" s="64">
        <f t="shared" si="5"/>
        <v>900</v>
      </c>
      <c r="U27" s="64">
        <f t="shared" si="5"/>
        <v>354</v>
      </c>
      <c r="V27" s="64"/>
    </row>
    <row r="28" spans="1:22" s="18" customFormat="1" ht="59.25" customHeight="1">
      <c r="A28" s="89">
        <v>1</v>
      </c>
      <c r="B28" s="90" t="s">
        <v>172</v>
      </c>
      <c r="C28" s="74" t="s">
        <v>27</v>
      </c>
      <c r="D28" s="52" t="s">
        <v>73</v>
      </c>
      <c r="E28" s="74"/>
      <c r="F28" s="54" t="s">
        <v>75</v>
      </c>
      <c r="G28" s="54" t="s">
        <v>111</v>
      </c>
      <c r="H28" s="50" t="s">
        <v>98</v>
      </c>
      <c r="I28" s="91" t="s">
        <v>173</v>
      </c>
      <c r="J28" s="91" t="s">
        <v>173</v>
      </c>
      <c r="K28" s="83" t="s">
        <v>119</v>
      </c>
      <c r="L28" s="55" t="s">
        <v>154</v>
      </c>
      <c r="M28" s="70">
        <v>2650</v>
      </c>
      <c r="N28" s="71">
        <f>M28*80%</f>
        <v>2120</v>
      </c>
      <c r="O28" s="71">
        <f>M28*10/100</f>
        <v>265</v>
      </c>
      <c r="P28" s="71">
        <f>M28*10/100</f>
        <v>265</v>
      </c>
      <c r="Q28" s="58">
        <f>N28+O28</f>
        <v>2385</v>
      </c>
      <c r="R28" s="58"/>
      <c r="S28" s="58">
        <f>T28+U28</f>
        <v>865</v>
      </c>
      <c r="T28" s="58">
        <v>600</v>
      </c>
      <c r="U28" s="58">
        <f>O28</f>
        <v>265</v>
      </c>
      <c r="V28" s="70"/>
    </row>
    <row r="29" spans="1:22" s="18" customFormat="1" ht="66.75" customHeight="1">
      <c r="A29" s="89">
        <v>2</v>
      </c>
      <c r="B29" s="90" t="s">
        <v>174</v>
      </c>
      <c r="C29" s="74" t="s">
        <v>27</v>
      </c>
      <c r="D29" s="52" t="s">
        <v>73</v>
      </c>
      <c r="E29" s="74"/>
      <c r="F29" s="54" t="s">
        <v>78</v>
      </c>
      <c r="G29" s="54" t="s">
        <v>111</v>
      </c>
      <c r="H29" s="50" t="s">
        <v>98</v>
      </c>
      <c r="I29" s="91" t="s">
        <v>175</v>
      </c>
      <c r="J29" s="91" t="s">
        <v>175</v>
      </c>
      <c r="K29" s="83" t="s">
        <v>119</v>
      </c>
      <c r="L29" s="55" t="s">
        <v>176</v>
      </c>
      <c r="M29" s="70">
        <v>890</v>
      </c>
      <c r="N29" s="71">
        <f>M29*80%</f>
        <v>712</v>
      </c>
      <c r="O29" s="71">
        <f>M29*10/100</f>
        <v>89</v>
      </c>
      <c r="P29" s="71">
        <f>M29*10/100</f>
        <v>89</v>
      </c>
      <c r="Q29" s="58">
        <f>N29+O29</f>
        <v>801</v>
      </c>
      <c r="R29" s="58"/>
      <c r="S29" s="58">
        <f>T29+U29</f>
        <v>389</v>
      </c>
      <c r="T29" s="58">
        <v>300</v>
      </c>
      <c r="U29" s="58">
        <f>O29</f>
        <v>89</v>
      </c>
      <c r="V29" s="70"/>
    </row>
    <row r="30" spans="1:22" s="4" customFormat="1" ht="30" customHeight="1">
      <c r="A30" s="46" t="s">
        <v>40</v>
      </c>
      <c r="B30" s="45" t="s">
        <v>52</v>
      </c>
      <c r="C30" s="46"/>
      <c r="D30" s="46"/>
      <c r="E30" s="46"/>
      <c r="F30" s="47"/>
      <c r="G30" s="47"/>
      <c r="H30" s="46"/>
      <c r="I30" s="46"/>
      <c r="J30" s="46"/>
      <c r="K30" s="48"/>
      <c r="L30" s="48"/>
      <c r="M30" s="49">
        <f>M31+M32+M33</f>
        <v>2576</v>
      </c>
      <c r="N30" s="49">
        <f aca="true" t="shared" si="6" ref="N30:U30">N31+N32+N33</f>
        <v>1980.8</v>
      </c>
      <c r="O30" s="49">
        <f t="shared" si="6"/>
        <v>417.6</v>
      </c>
      <c r="P30" s="49">
        <f t="shared" si="6"/>
        <v>177.6</v>
      </c>
      <c r="Q30" s="49">
        <f t="shared" si="6"/>
        <v>2398.4</v>
      </c>
      <c r="R30" s="49">
        <f t="shared" si="6"/>
        <v>0</v>
      </c>
      <c r="S30" s="49">
        <f>S31+S32+S33</f>
        <v>1317.6</v>
      </c>
      <c r="T30" s="49">
        <f t="shared" si="6"/>
        <v>900</v>
      </c>
      <c r="U30" s="49">
        <f t="shared" si="6"/>
        <v>417.6</v>
      </c>
      <c r="V30" s="49"/>
    </row>
    <row r="31" spans="1:22" s="130" customFormat="1" ht="40.5" customHeight="1">
      <c r="A31" s="123">
        <v>1</v>
      </c>
      <c r="B31" s="129" t="s">
        <v>127</v>
      </c>
      <c r="C31" s="123" t="s">
        <v>18</v>
      </c>
      <c r="D31" s="123"/>
      <c r="E31" s="123"/>
      <c r="F31" s="122"/>
      <c r="G31" s="122"/>
      <c r="H31" s="123" t="s">
        <v>99</v>
      </c>
      <c r="I31" s="123"/>
      <c r="J31" s="123" t="s">
        <v>131</v>
      </c>
      <c r="K31" s="124" t="s">
        <v>119</v>
      </c>
      <c r="L31" s="124" t="s">
        <v>213</v>
      </c>
      <c r="M31" s="125">
        <v>976</v>
      </c>
      <c r="N31" s="125">
        <v>780.8</v>
      </c>
      <c r="O31" s="125">
        <v>97.6</v>
      </c>
      <c r="P31" s="125">
        <v>97.6</v>
      </c>
      <c r="Q31" s="125">
        <v>878.4</v>
      </c>
      <c r="R31" s="125"/>
      <c r="S31" s="125">
        <v>497.6</v>
      </c>
      <c r="T31" s="125">
        <v>400</v>
      </c>
      <c r="U31" s="125">
        <v>97.6</v>
      </c>
      <c r="V31" s="125"/>
    </row>
    <row r="32" spans="1:22" s="130" customFormat="1" ht="40.5" customHeight="1">
      <c r="A32" s="123">
        <v>2</v>
      </c>
      <c r="B32" s="129" t="s">
        <v>133</v>
      </c>
      <c r="C32" s="123" t="s">
        <v>18</v>
      </c>
      <c r="D32" s="121" t="s">
        <v>73</v>
      </c>
      <c r="E32" s="123"/>
      <c r="F32" s="122" t="s">
        <v>82</v>
      </c>
      <c r="G32" s="122" t="s">
        <v>112</v>
      </c>
      <c r="H32" s="123" t="s">
        <v>99</v>
      </c>
      <c r="I32" s="120" t="s">
        <v>187</v>
      </c>
      <c r="J32" s="120" t="s">
        <v>221</v>
      </c>
      <c r="K32" s="124" t="s">
        <v>119</v>
      </c>
      <c r="L32" s="124" t="s">
        <v>129</v>
      </c>
      <c r="M32" s="125">
        <v>800</v>
      </c>
      <c r="N32" s="126">
        <v>640</v>
      </c>
      <c r="O32" s="126">
        <f>M32*20%</f>
        <v>160</v>
      </c>
      <c r="P32" s="126"/>
      <c r="Q32" s="126">
        <f>N32+O32</f>
        <v>800</v>
      </c>
      <c r="R32" s="126"/>
      <c r="S32" s="126">
        <f>T32+U32</f>
        <v>460</v>
      </c>
      <c r="T32" s="126">
        <v>300</v>
      </c>
      <c r="U32" s="126">
        <f>O32</f>
        <v>160</v>
      </c>
      <c r="V32" s="126"/>
    </row>
    <row r="33" spans="1:22" s="130" customFormat="1" ht="40.5" customHeight="1">
      <c r="A33" s="123">
        <v>3</v>
      </c>
      <c r="B33" s="129" t="s">
        <v>132</v>
      </c>
      <c r="C33" s="123" t="s">
        <v>18</v>
      </c>
      <c r="D33" s="121" t="s">
        <v>73</v>
      </c>
      <c r="E33" s="123"/>
      <c r="F33" s="122" t="s">
        <v>78</v>
      </c>
      <c r="G33" s="122" t="s">
        <v>113</v>
      </c>
      <c r="H33" s="123" t="s">
        <v>99</v>
      </c>
      <c r="I33" s="120" t="s">
        <v>188</v>
      </c>
      <c r="J33" s="120" t="s">
        <v>188</v>
      </c>
      <c r="K33" s="124" t="s">
        <v>119</v>
      </c>
      <c r="L33" s="124" t="s">
        <v>130</v>
      </c>
      <c r="M33" s="125">
        <v>800</v>
      </c>
      <c r="N33" s="126">
        <v>560</v>
      </c>
      <c r="O33" s="126">
        <f>M33*20%</f>
        <v>160</v>
      </c>
      <c r="P33" s="126">
        <f>M33*10%</f>
        <v>80</v>
      </c>
      <c r="Q33" s="126">
        <f>N33+O33</f>
        <v>720</v>
      </c>
      <c r="R33" s="126"/>
      <c r="S33" s="126">
        <f>T33+U33</f>
        <v>360</v>
      </c>
      <c r="T33" s="126">
        <v>200</v>
      </c>
      <c r="U33" s="126">
        <f>O33</f>
        <v>160</v>
      </c>
      <c r="V33" s="126"/>
    </row>
    <row r="34" spans="1:22" s="6" customFormat="1" ht="38.25" customHeight="1">
      <c r="A34" s="92" t="s">
        <v>25</v>
      </c>
      <c r="B34" s="93" t="s">
        <v>53</v>
      </c>
      <c r="C34" s="62"/>
      <c r="D34" s="62"/>
      <c r="E34" s="62"/>
      <c r="F34" s="94"/>
      <c r="G34" s="94"/>
      <c r="H34" s="92"/>
      <c r="I34" s="62"/>
      <c r="J34" s="62"/>
      <c r="K34" s="63"/>
      <c r="L34" s="63"/>
      <c r="M34" s="64">
        <f>M35+M36</f>
        <v>1400</v>
      </c>
      <c r="N34" s="64">
        <f aca="true" t="shared" si="7" ref="N34:U34">N35+N36</f>
        <v>980</v>
      </c>
      <c r="O34" s="64">
        <f t="shared" si="7"/>
        <v>280</v>
      </c>
      <c r="P34" s="64">
        <f t="shared" si="7"/>
        <v>140</v>
      </c>
      <c r="Q34" s="64">
        <f t="shared" si="7"/>
        <v>1260</v>
      </c>
      <c r="R34" s="64">
        <f t="shared" si="7"/>
        <v>0</v>
      </c>
      <c r="S34" s="64">
        <f t="shared" si="7"/>
        <v>1180</v>
      </c>
      <c r="T34" s="64">
        <f t="shared" si="7"/>
        <v>900</v>
      </c>
      <c r="U34" s="64">
        <f t="shared" si="7"/>
        <v>280</v>
      </c>
      <c r="V34" s="64"/>
    </row>
    <row r="35" spans="1:22" s="1" customFormat="1" ht="53.25" customHeight="1">
      <c r="A35" s="50">
        <v>1</v>
      </c>
      <c r="B35" s="51" t="s">
        <v>122</v>
      </c>
      <c r="C35" s="52" t="s">
        <v>26</v>
      </c>
      <c r="D35" s="52" t="s">
        <v>73</v>
      </c>
      <c r="E35" s="52"/>
      <c r="F35" s="95" t="s">
        <v>79</v>
      </c>
      <c r="G35" s="95" t="s">
        <v>113</v>
      </c>
      <c r="H35" s="50" t="s">
        <v>100</v>
      </c>
      <c r="I35" s="50" t="s">
        <v>124</v>
      </c>
      <c r="J35" s="50" t="s">
        <v>124</v>
      </c>
      <c r="K35" s="55" t="s">
        <v>119</v>
      </c>
      <c r="L35" s="55" t="s">
        <v>125</v>
      </c>
      <c r="M35" s="70">
        <v>1000</v>
      </c>
      <c r="N35" s="71">
        <v>700</v>
      </c>
      <c r="O35" s="71">
        <f>M35*20/100</f>
        <v>200</v>
      </c>
      <c r="P35" s="71">
        <f>M35*10/100</f>
        <v>100</v>
      </c>
      <c r="Q35" s="58">
        <f>N35+O35</f>
        <v>900</v>
      </c>
      <c r="R35" s="58"/>
      <c r="S35" s="58">
        <f>T35+U35</f>
        <v>820</v>
      </c>
      <c r="T35" s="58">
        <v>620</v>
      </c>
      <c r="U35" s="58">
        <v>200</v>
      </c>
      <c r="V35" s="70"/>
    </row>
    <row r="36" spans="1:22" s="1" customFormat="1" ht="57" customHeight="1">
      <c r="A36" s="50">
        <v>2</v>
      </c>
      <c r="B36" s="51" t="s">
        <v>123</v>
      </c>
      <c r="C36" s="52" t="s">
        <v>26</v>
      </c>
      <c r="D36" s="52" t="s">
        <v>73</v>
      </c>
      <c r="E36" s="52"/>
      <c r="F36" s="95" t="s">
        <v>79</v>
      </c>
      <c r="G36" s="95" t="s">
        <v>113</v>
      </c>
      <c r="H36" s="50" t="s">
        <v>100</v>
      </c>
      <c r="I36" s="50" t="s">
        <v>205</v>
      </c>
      <c r="J36" s="50" t="s">
        <v>205</v>
      </c>
      <c r="K36" s="55" t="s">
        <v>119</v>
      </c>
      <c r="L36" s="55" t="s">
        <v>126</v>
      </c>
      <c r="M36" s="70">
        <v>400</v>
      </c>
      <c r="N36" s="71">
        <v>280</v>
      </c>
      <c r="O36" s="71">
        <f>M36*20/100</f>
        <v>80</v>
      </c>
      <c r="P36" s="71">
        <f>M36*10/100</f>
        <v>40</v>
      </c>
      <c r="Q36" s="58">
        <f>N36+O36</f>
        <v>360</v>
      </c>
      <c r="R36" s="58"/>
      <c r="S36" s="58">
        <f>T36+U36</f>
        <v>360</v>
      </c>
      <c r="T36" s="58">
        <v>280</v>
      </c>
      <c r="U36" s="58">
        <v>80</v>
      </c>
      <c r="V36" s="70"/>
    </row>
    <row r="37" spans="1:22" s="18" customFormat="1" ht="29.25" customHeight="1">
      <c r="A37" s="46" t="s">
        <v>41</v>
      </c>
      <c r="B37" s="96" t="s">
        <v>54</v>
      </c>
      <c r="C37" s="97"/>
      <c r="D37" s="97"/>
      <c r="E37" s="97"/>
      <c r="F37" s="98"/>
      <c r="G37" s="98"/>
      <c r="H37" s="97"/>
      <c r="I37" s="99"/>
      <c r="J37" s="99"/>
      <c r="K37" s="100"/>
      <c r="L37" s="100"/>
      <c r="M37" s="49">
        <f>M38+M39</f>
        <v>1296.2</v>
      </c>
      <c r="N37" s="49">
        <f aca="true" t="shared" si="8" ref="N37:U37">N38+N39</f>
        <v>1037</v>
      </c>
      <c r="O37" s="49">
        <f t="shared" si="8"/>
        <v>129.7</v>
      </c>
      <c r="P37" s="49">
        <f t="shared" si="8"/>
        <v>129.50000000000006</v>
      </c>
      <c r="Q37" s="49">
        <f t="shared" si="8"/>
        <v>1166.7</v>
      </c>
      <c r="R37" s="49">
        <f t="shared" si="8"/>
        <v>0</v>
      </c>
      <c r="S37" s="49">
        <f t="shared" si="8"/>
        <v>1029.7</v>
      </c>
      <c r="T37" s="49">
        <f t="shared" si="8"/>
        <v>900</v>
      </c>
      <c r="U37" s="49">
        <f t="shared" si="8"/>
        <v>129.7</v>
      </c>
      <c r="V37" s="101"/>
    </row>
    <row r="38" spans="1:22" s="152" customFormat="1" ht="39" customHeight="1">
      <c r="A38" s="123">
        <v>1</v>
      </c>
      <c r="B38" s="146" t="s">
        <v>216</v>
      </c>
      <c r="C38" s="123" t="s">
        <v>13</v>
      </c>
      <c r="D38" s="121" t="s">
        <v>73</v>
      </c>
      <c r="E38" s="123"/>
      <c r="F38" s="122" t="s">
        <v>75</v>
      </c>
      <c r="G38" s="122" t="s">
        <v>111</v>
      </c>
      <c r="H38" s="123" t="s">
        <v>101</v>
      </c>
      <c r="I38" s="147" t="s">
        <v>197</v>
      </c>
      <c r="J38" s="148" t="s">
        <v>217</v>
      </c>
      <c r="K38" s="124" t="s">
        <v>119</v>
      </c>
      <c r="L38" s="124" t="s">
        <v>218</v>
      </c>
      <c r="M38" s="149">
        <v>760</v>
      </c>
      <c r="N38" s="150">
        <f>M38*80%</f>
        <v>608</v>
      </c>
      <c r="O38" s="150">
        <f>M38*10%</f>
        <v>76</v>
      </c>
      <c r="P38" s="150">
        <f>M38-N38-O38</f>
        <v>76</v>
      </c>
      <c r="Q38" s="135">
        <f>N38+O38</f>
        <v>684</v>
      </c>
      <c r="R38" s="135"/>
      <c r="S38" s="126">
        <f>T38+U38</f>
        <v>547</v>
      </c>
      <c r="T38" s="135">
        <v>471</v>
      </c>
      <c r="U38" s="151">
        <f>O38</f>
        <v>76</v>
      </c>
      <c r="V38" s="134"/>
    </row>
    <row r="39" spans="1:22" s="152" customFormat="1" ht="39" customHeight="1">
      <c r="A39" s="123">
        <v>2</v>
      </c>
      <c r="B39" s="146" t="s">
        <v>134</v>
      </c>
      <c r="C39" s="123" t="s">
        <v>13</v>
      </c>
      <c r="D39" s="121" t="s">
        <v>73</v>
      </c>
      <c r="E39" s="123"/>
      <c r="F39" s="122" t="s">
        <v>75</v>
      </c>
      <c r="G39" s="122" t="s">
        <v>111</v>
      </c>
      <c r="H39" s="123" t="s">
        <v>101</v>
      </c>
      <c r="I39" s="147" t="s">
        <v>183</v>
      </c>
      <c r="J39" s="147" t="s">
        <v>136</v>
      </c>
      <c r="K39" s="124" t="s">
        <v>119</v>
      </c>
      <c r="L39" s="124" t="s">
        <v>135</v>
      </c>
      <c r="M39" s="153">
        <v>536.2</v>
      </c>
      <c r="N39" s="135">
        <v>429</v>
      </c>
      <c r="O39" s="135">
        <v>53.7</v>
      </c>
      <c r="P39" s="135">
        <f>M39-O39-N39</f>
        <v>53.50000000000006</v>
      </c>
      <c r="Q39" s="135">
        <f>N39+O39</f>
        <v>482.7</v>
      </c>
      <c r="R39" s="135"/>
      <c r="S39" s="126">
        <f>T39+U39</f>
        <v>482.7</v>
      </c>
      <c r="T39" s="135">
        <v>429</v>
      </c>
      <c r="U39" s="151">
        <f>O39</f>
        <v>53.7</v>
      </c>
      <c r="V39" s="134"/>
    </row>
    <row r="40" spans="1:22" s="21" customFormat="1" ht="29.25" customHeight="1">
      <c r="A40" s="46" t="s">
        <v>33</v>
      </c>
      <c r="B40" s="45" t="s">
        <v>55</v>
      </c>
      <c r="C40" s="102"/>
      <c r="D40" s="102"/>
      <c r="E40" s="102"/>
      <c r="F40" s="103"/>
      <c r="G40" s="103"/>
      <c r="H40" s="102"/>
      <c r="I40" s="104"/>
      <c r="J40" s="104"/>
      <c r="K40" s="63"/>
      <c r="L40" s="63"/>
      <c r="M40" s="64">
        <f>SUM(M41:M43)</f>
        <v>1985.2</v>
      </c>
      <c r="N40" s="64">
        <f aca="true" t="shared" si="9" ref="N40:U40">SUM(N41:N43)</f>
        <v>1588.2</v>
      </c>
      <c r="O40" s="64">
        <f t="shared" si="9"/>
        <v>198.5</v>
      </c>
      <c r="P40" s="64">
        <f t="shared" si="9"/>
        <v>198.5</v>
      </c>
      <c r="Q40" s="64">
        <f t="shared" si="9"/>
        <v>1786.7</v>
      </c>
      <c r="R40" s="64">
        <f t="shared" si="9"/>
        <v>524.3</v>
      </c>
      <c r="S40" s="64">
        <f t="shared" si="9"/>
        <v>1035</v>
      </c>
      <c r="T40" s="64">
        <f t="shared" si="9"/>
        <v>900</v>
      </c>
      <c r="U40" s="64">
        <f t="shared" si="9"/>
        <v>135</v>
      </c>
      <c r="V40" s="105"/>
    </row>
    <row r="41" spans="1:24" s="18" customFormat="1" ht="35.25" customHeight="1">
      <c r="A41" s="50">
        <v>1</v>
      </c>
      <c r="B41" s="66" t="s">
        <v>21</v>
      </c>
      <c r="C41" s="50" t="s">
        <v>22</v>
      </c>
      <c r="D41" s="52" t="s">
        <v>73</v>
      </c>
      <c r="E41" s="53" t="s">
        <v>185</v>
      </c>
      <c r="F41" s="54" t="s">
        <v>75</v>
      </c>
      <c r="G41" s="54" t="s">
        <v>111</v>
      </c>
      <c r="H41" s="50" t="s">
        <v>102</v>
      </c>
      <c r="I41" s="50" t="s">
        <v>186</v>
      </c>
      <c r="J41" s="50" t="s">
        <v>189</v>
      </c>
      <c r="K41" s="55" t="s">
        <v>4</v>
      </c>
      <c r="L41" s="55" t="s">
        <v>83</v>
      </c>
      <c r="M41" s="106">
        <v>635.2</v>
      </c>
      <c r="N41" s="107">
        <f>508+0.2</f>
        <v>508.2</v>
      </c>
      <c r="O41" s="107">
        <v>63.5</v>
      </c>
      <c r="P41" s="107">
        <f>O41</f>
        <v>63.5</v>
      </c>
      <c r="Q41" s="107">
        <f>N41+O41</f>
        <v>571.7</v>
      </c>
      <c r="R41" s="107">
        <f>460.8+O41</f>
        <v>524.3</v>
      </c>
      <c r="S41" s="58">
        <f>T41+U41</f>
        <v>47.4</v>
      </c>
      <c r="T41" s="58">
        <f>47.4</f>
        <v>47.4</v>
      </c>
      <c r="U41" s="58"/>
      <c r="V41" s="108"/>
      <c r="X41" s="158"/>
    </row>
    <row r="42" spans="1:24" s="20" customFormat="1" ht="35.25" customHeight="1">
      <c r="A42" s="50">
        <v>2</v>
      </c>
      <c r="B42" s="155" t="s">
        <v>220</v>
      </c>
      <c r="C42" s="50" t="s">
        <v>22</v>
      </c>
      <c r="D42" s="52" t="s">
        <v>73</v>
      </c>
      <c r="E42" s="50"/>
      <c r="F42" s="54" t="s">
        <v>75</v>
      </c>
      <c r="G42" s="54" t="s">
        <v>111</v>
      </c>
      <c r="H42" s="50" t="s">
        <v>102</v>
      </c>
      <c r="I42" s="50" t="s">
        <v>153</v>
      </c>
      <c r="J42" s="123" t="s">
        <v>153</v>
      </c>
      <c r="K42" s="124" t="s">
        <v>138</v>
      </c>
      <c r="L42" s="124" t="s">
        <v>141</v>
      </c>
      <c r="M42" s="156">
        <v>800</v>
      </c>
      <c r="N42" s="157">
        <f>M42*0.8</f>
        <v>640</v>
      </c>
      <c r="O42" s="157">
        <f>M42*0.1</f>
        <v>80</v>
      </c>
      <c r="P42" s="157">
        <f>M42*0.1</f>
        <v>80</v>
      </c>
      <c r="Q42" s="157">
        <f>N42+O42</f>
        <v>720</v>
      </c>
      <c r="R42" s="157"/>
      <c r="S42" s="126">
        <f>T42+U42</f>
        <v>492.6</v>
      </c>
      <c r="T42" s="126">
        <v>412.6</v>
      </c>
      <c r="U42" s="126">
        <f>O42</f>
        <v>80</v>
      </c>
      <c r="V42" s="108"/>
      <c r="X42" s="159"/>
    </row>
    <row r="43" spans="1:22" s="18" customFormat="1" ht="35.25" customHeight="1">
      <c r="A43" s="50">
        <v>3</v>
      </c>
      <c r="B43" s="66" t="s">
        <v>139</v>
      </c>
      <c r="C43" s="50" t="s">
        <v>22</v>
      </c>
      <c r="D43" s="52" t="s">
        <v>73</v>
      </c>
      <c r="E43" s="50"/>
      <c r="F43" s="54" t="s">
        <v>76</v>
      </c>
      <c r="G43" s="54" t="s">
        <v>111</v>
      </c>
      <c r="H43" s="50" t="s">
        <v>102</v>
      </c>
      <c r="I43" s="50" t="s">
        <v>137</v>
      </c>
      <c r="J43" s="50" t="s">
        <v>137</v>
      </c>
      <c r="K43" s="55" t="s">
        <v>138</v>
      </c>
      <c r="L43" s="55" t="s">
        <v>140</v>
      </c>
      <c r="M43" s="106">
        <v>550</v>
      </c>
      <c r="N43" s="107">
        <f>M43*0.8</f>
        <v>440</v>
      </c>
      <c r="O43" s="107">
        <f>M43*0.1</f>
        <v>55</v>
      </c>
      <c r="P43" s="107">
        <f>M43*0.1</f>
        <v>55</v>
      </c>
      <c r="Q43" s="107">
        <f>N43+O43</f>
        <v>495</v>
      </c>
      <c r="R43" s="107"/>
      <c r="S43" s="58">
        <f>T43+U43</f>
        <v>495</v>
      </c>
      <c r="T43" s="58">
        <v>440</v>
      </c>
      <c r="U43" s="58">
        <f>O43</f>
        <v>55</v>
      </c>
      <c r="V43" s="108"/>
    </row>
    <row r="44" spans="1:22" s="7" customFormat="1" ht="30" customHeight="1">
      <c r="A44" s="46" t="s">
        <v>34</v>
      </c>
      <c r="B44" s="62" t="s">
        <v>56</v>
      </c>
      <c r="C44" s="92"/>
      <c r="D44" s="92"/>
      <c r="E44" s="92"/>
      <c r="F44" s="87"/>
      <c r="G44" s="87"/>
      <c r="H44" s="92"/>
      <c r="I44" s="62"/>
      <c r="J44" s="62"/>
      <c r="K44" s="63"/>
      <c r="L44" s="63"/>
      <c r="M44" s="64">
        <f>M45+M46</f>
        <v>1400</v>
      </c>
      <c r="N44" s="64">
        <f aca="true" t="shared" si="10" ref="N44:U44">N45+N46</f>
        <v>1020</v>
      </c>
      <c r="O44" s="64">
        <f t="shared" si="10"/>
        <v>280</v>
      </c>
      <c r="P44" s="64">
        <f t="shared" si="10"/>
        <v>100</v>
      </c>
      <c r="Q44" s="64">
        <f t="shared" si="10"/>
        <v>1300</v>
      </c>
      <c r="R44" s="64">
        <f t="shared" si="10"/>
        <v>0</v>
      </c>
      <c r="S44" s="64">
        <f t="shared" si="10"/>
        <v>1180</v>
      </c>
      <c r="T44" s="64">
        <f t="shared" si="10"/>
        <v>900</v>
      </c>
      <c r="U44" s="64">
        <f t="shared" si="10"/>
        <v>280</v>
      </c>
      <c r="V44" s="105"/>
    </row>
    <row r="45" spans="1:22" s="1" customFormat="1" ht="71.25" customHeight="1">
      <c r="A45" s="50">
        <v>1</v>
      </c>
      <c r="B45" s="51" t="s">
        <v>142</v>
      </c>
      <c r="C45" s="50" t="s">
        <v>24</v>
      </c>
      <c r="D45" s="52" t="s">
        <v>73</v>
      </c>
      <c r="E45" s="50"/>
      <c r="F45" s="54" t="s">
        <v>74</v>
      </c>
      <c r="G45" s="54" t="s">
        <v>112</v>
      </c>
      <c r="H45" s="50" t="s">
        <v>103</v>
      </c>
      <c r="I45" s="50" t="s">
        <v>198</v>
      </c>
      <c r="J45" s="50" t="s">
        <v>144</v>
      </c>
      <c r="K45" s="55" t="s">
        <v>119</v>
      </c>
      <c r="L45" s="55" t="s">
        <v>143</v>
      </c>
      <c r="M45" s="109">
        <v>400</v>
      </c>
      <c r="N45" s="110">
        <v>320</v>
      </c>
      <c r="O45" s="110">
        <f>M45*20%</f>
        <v>80</v>
      </c>
      <c r="P45" s="57"/>
      <c r="Q45" s="57">
        <f>N45+O45</f>
        <v>400</v>
      </c>
      <c r="R45" s="57"/>
      <c r="S45" s="58">
        <f>T45+U45</f>
        <v>400</v>
      </c>
      <c r="T45" s="58">
        <v>320</v>
      </c>
      <c r="U45" s="58">
        <f>O45</f>
        <v>80</v>
      </c>
      <c r="V45" s="70"/>
    </row>
    <row r="46" spans="1:22" s="18" customFormat="1" ht="43.5" customHeight="1">
      <c r="A46" s="50">
        <f>A45+1</f>
        <v>2</v>
      </c>
      <c r="B46" s="51" t="s">
        <v>199</v>
      </c>
      <c r="C46" s="50" t="s">
        <v>24</v>
      </c>
      <c r="D46" s="52" t="s">
        <v>73</v>
      </c>
      <c r="E46" s="50"/>
      <c r="F46" s="54" t="s">
        <v>78</v>
      </c>
      <c r="G46" s="54" t="s">
        <v>113</v>
      </c>
      <c r="H46" s="50" t="s">
        <v>103</v>
      </c>
      <c r="I46" s="50" t="s">
        <v>200</v>
      </c>
      <c r="J46" s="50" t="s">
        <v>200</v>
      </c>
      <c r="K46" s="55" t="s">
        <v>119</v>
      </c>
      <c r="L46" s="55" t="s">
        <v>145</v>
      </c>
      <c r="M46" s="109">
        <v>1000</v>
      </c>
      <c r="N46" s="110">
        <f>M46*0.7</f>
        <v>700</v>
      </c>
      <c r="O46" s="110">
        <v>200</v>
      </c>
      <c r="P46" s="110">
        <f>M46*10%</f>
        <v>100</v>
      </c>
      <c r="Q46" s="57">
        <f>N46+O46</f>
        <v>900</v>
      </c>
      <c r="R46" s="57"/>
      <c r="S46" s="58">
        <f>T46+U46</f>
        <v>780</v>
      </c>
      <c r="T46" s="58">
        <v>580</v>
      </c>
      <c r="U46" s="58">
        <f>O46</f>
        <v>200</v>
      </c>
      <c r="V46" s="70"/>
    </row>
    <row r="47" spans="1:22" s="1" customFormat="1" ht="38.25" customHeight="1">
      <c r="A47" s="46" t="s">
        <v>38</v>
      </c>
      <c r="B47" s="96" t="s">
        <v>57</v>
      </c>
      <c r="C47" s="50"/>
      <c r="D47" s="50"/>
      <c r="E47" s="50"/>
      <c r="F47" s="54"/>
      <c r="G47" s="54"/>
      <c r="H47" s="50"/>
      <c r="I47" s="46"/>
      <c r="J47" s="46"/>
      <c r="K47" s="48"/>
      <c r="L47" s="48"/>
      <c r="M47" s="49">
        <f>M48+M49</f>
        <v>2900</v>
      </c>
      <c r="N47" s="49">
        <f aca="true" t="shared" si="11" ref="N47:U47">N48+N49</f>
        <v>2320</v>
      </c>
      <c r="O47" s="49">
        <f t="shared" si="11"/>
        <v>580</v>
      </c>
      <c r="P47" s="49">
        <f t="shared" si="11"/>
        <v>0</v>
      </c>
      <c r="Q47" s="49">
        <f t="shared" si="11"/>
        <v>2900</v>
      </c>
      <c r="R47" s="49">
        <f t="shared" si="11"/>
        <v>0</v>
      </c>
      <c r="S47" s="49">
        <f t="shared" si="11"/>
        <v>1480</v>
      </c>
      <c r="T47" s="49">
        <f t="shared" si="11"/>
        <v>900</v>
      </c>
      <c r="U47" s="49">
        <f t="shared" si="11"/>
        <v>580</v>
      </c>
      <c r="V47" s="49"/>
    </row>
    <row r="48" spans="1:22" s="1" customFormat="1" ht="45" customHeight="1">
      <c r="A48" s="50">
        <v>1</v>
      </c>
      <c r="B48" s="66" t="s">
        <v>146</v>
      </c>
      <c r="C48" s="50" t="s">
        <v>11</v>
      </c>
      <c r="D48" s="52" t="s">
        <v>73</v>
      </c>
      <c r="E48" s="50"/>
      <c r="F48" s="54" t="s">
        <v>77</v>
      </c>
      <c r="G48" s="54" t="s">
        <v>112</v>
      </c>
      <c r="H48" s="50" t="s">
        <v>104</v>
      </c>
      <c r="I48" s="50" t="s">
        <v>148</v>
      </c>
      <c r="J48" s="50" t="s">
        <v>148</v>
      </c>
      <c r="K48" s="55" t="s">
        <v>119</v>
      </c>
      <c r="L48" s="55" t="s">
        <v>150</v>
      </c>
      <c r="M48" s="56">
        <v>600</v>
      </c>
      <c r="N48" s="58">
        <f>M48*0.8</f>
        <v>480</v>
      </c>
      <c r="O48" s="58">
        <f>M48*20%</f>
        <v>120</v>
      </c>
      <c r="P48" s="57"/>
      <c r="Q48" s="57">
        <f>N48+O48</f>
        <v>600</v>
      </c>
      <c r="R48" s="57"/>
      <c r="S48" s="58">
        <f>T48+U48</f>
        <v>420</v>
      </c>
      <c r="T48" s="71">
        <v>300</v>
      </c>
      <c r="U48" s="71">
        <f>O48</f>
        <v>120</v>
      </c>
      <c r="V48" s="70"/>
    </row>
    <row r="49" spans="1:22" s="1" customFormat="1" ht="51" customHeight="1">
      <c r="A49" s="50">
        <v>2</v>
      </c>
      <c r="B49" s="111" t="s">
        <v>147</v>
      </c>
      <c r="C49" s="50" t="s">
        <v>11</v>
      </c>
      <c r="D49" s="52" t="s">
        <v>73</v>
      </c>
      <c r="E49" s="50"/>
      <c r="F49" s="54" t="s">
        <v>82</v>
      </c>
      <c r="G49" s="54" t="s">
        <v>112</v>
      </c>
      <c r="H49" s="50" t="s">
        <v>104</v>
      </c>
      <c r="I49" s="112" t="s">
        <v>149</v>
      </c>
      <c r="J49" s="112" t="s">
        <v>149</v>
      </c>
      <c r="K49" s="55" t="s">
        <v>119</v>
      </c>
      <c r="L49" s="55" t="s">
        <v>210</v>
      </c>
      <c r="M49" s="56">
        <v>2300</v>
      </c>
      <c r="N49" s="58">
        <f>M49*0.8</f>
        <v>1840</v>
      </c>
      <c r="O49" s="58">
        <f>M49*20%</f>
        <v>460</v>
      </c>
      <c r="P49" s="57"/>
      <c r="Q49" s="57">
        <f>N49+O49</f>
        <v>2300</v>
      </c>
      <c r="R49" s="57"/>
      <c r="S49" s="58">
        <f>T49+U49</f>
        <v>1060</v>
      </c>
      <c r="T49" s="71">
        <v>600</v>
      </c>
      <c r="U49" s="71">
        <f>O49</f>
        <v>460</v>
      </c>
      <c r="V49" s="70"/>
    </row>
    <row r="50" spans="1:22" s="9" customFormat="1" ht="27.75" customHeight="1">
      <c r="A50" s="44" t="s">
        <v>202</v>
      </c>
      <c r="B50" s="62" t="s">
        <v>58</v>
      </c>
      <c r="C50" s="86"/>
      <c r="D50" s="86"/>
      <c r="E50" s="86"/>
      <c r="F50" s="87"/>
      <c r="G50" s="87"/>
      <c r="H50" s="86"/>
      <c r="I50" s="62"/>
      <c r="J50" s="62"/>
      <c r="K50" s="63"/>
      <c r="L50" s="63"/>
      <c r="M50" s="64">
        <f>M51+M52</f>
        <v>1900</v>
      </c>
      <c r="N50" s="64">
        <f aca="true" t="shared" si="12" ref="N50:U50">N51+N52</f>
        <v>1320</v>
      </c>
      <c r="O50" s="64">
        <f t="shared" si="12"/>
        <v>340</v>
      </c>
      <c r="P50" s="64">
        <f t="shared" si="12"/>
        <v>240</v>
      </c>
      <c r="Q50" s="64">
        <f t="shared" si="12"/>
        <v>1660</v>
      </c>
      <c r="R50" s="64">
        <f t="shared" si="12"/>
        <v>0</v>
      </c>
      <c r="S50" s="64">
        <f t="shared" si="12"/>
        <v>1240</v>
      </c>
      <c r="T50" s="64">
        <f t="shared" si="12"/>
        <v>900</v>
      </c>
      <c r="U50" s="64">
        <f t="shared" si="12"/>
        <v>340</v>
      </c>
      <c r="V50" s="105"/>
    </row>
    <row r="51" spans="1:22" s="137" customFormat="1" ht="39" customHeight="1">
      <c r="A51" s="131">
        <v>1</v>
      </c>
      <c r="B51" s="132" t="s">
        <v>151</v>
      </c>
      <c r="C51" s="123" t="s">
        <v>36</v>
      </c>
      <c r="D51" s="121" t="s">
        <v>73</v>
      </c>
      <c r="E51" s="123"/>
      <c r="F51" s="122" t="s">
        <v>75</v>
      </c>
      <c r="G51" s="122" t="s">
        <v>111</v>
      </c>
      <c r="H51" s="123" t="s">
        <v>105</v>
      </c>
      <c r="I51" s="133" t="s">
        <v>153</v>
      </c>
      <c r="J51" s="133" t="s">
        <v>118</v>
      </c>
      <c r="K51" s="124" t="s">
        <v>119</v>
      </c>
      <c r="L51" s="124" t="s">
        <v>155</v>
      </c>
      <c r="M51" s="134">
        <v>900</v>
      </c>
      <c r="N51" s="135">
        <f>M51*0.8</f>
        <v>720</v>
      </c>
      <c r="O51" s="135">
        <f>M51*10%</f>
        <v>90</v>
      </c>
      <c r="P51" s="135">
        <f>M51*0.1</f>
        <v>90</v>
      </c>
      <c r="Q51" s="136">
        <f>N51+O51</f>
        <v>810</v>
      </c>
      <c r="R51" s="135"/>
      <c r="S51" s="126">
        <f>T51+U51</f>
        <v>590</v>
      </c>
      <c r="T51" s="126">
        <v>500</v>
      </c>
      <c r="U51" s="126">
        <f>O51</f>
        <v>90</v>
      </c>
      <c r="V51" s="134"/>
    </row>
    <row r="52" spans="1:22" s="137" customFormat="1" ht="39" customHeight="1">
      <c r="A52" s="131">
        <v>2</v>
      </c>
      <c r="B52" s="132" t="s">
        <v>152</v>
      </c>
      <c r="C52" s="123" t="s">
        <v>36</v>
      </c>
      <c r="D52" s="121" t="s">
        <v>73</v>
      </c>
      <c r="E52" s="123"/>
      <c r="F52" s="122" t="s">
        <v>156</v>
      </c>
      <c r="G52" s="122" t="s">
        <v>157</v>
      </c>
      <c r="H52" s="123" t="s">
        <v>105</v>
      </c>
      <c r="I52" s="138" t="s">
        <v>201</v>
      </c>
      <c r="J52" s="138" t="s">
        <v>201</v>
      </c>
      <c r="K52" s="124" t="s">
        <v>119</v>
      </c>
      <c r="L52" s="124" t="s">
        <v>154</v>
      </c>
      <c r="M52" s="134">
        <v>1000</v>
      </c>
      <c r="N52" s="135">
        <v>600</v>
      </c>
      <c r="O52" s="135">
        <f>M52*25%</f>
        <v>250</v>
      </c>
      <c r="P52" s="135">
        <f>M52*0.15</f>
        <v>150</v>
      </c>
      <c r="Q52" s="136">
        <f>N52+O52</f>
        <v>850</v>
      </c>
      <c r="R52" s="135"/>
      <c r="S52" s="126">
        <f>T52+U52</f>
        <v>650</v>
      </c>
      <c r="T52" s="126">
        <v>400</v>
      </c>
      <c r="U52" s="126">
        <f>O52</f>
        <v>250</v>
      </c>
      <c r="V52" s="134"/>
    </row>
    <row r="53" spans="1:22" s="17" customFormat="1" ht="24" customHeight="1">
      <c r="A53" s="44" t="s">
        <v>35</v>
      </c>
      <c r="B53" s="45" t="s">
        <v>59</v>
      </c>
      <c r="C53" s="46"/>
      <c r="D53" s="46"/>
      <c r="E53" s="46"/>
      <c r="F53" s="47"/>
      <c r="G53" s="47"/>
      <c r="H53" s="46"/>
      <c r="I53" s="46"/>
      <c r="J53" s="46"/>
      <c r="K53" s="48"/>
      <c r="L53" s="48"/>
      <c r="M53" s="49">
        <f>SUM(M54:M56)</f>
        <v>1700</v>
      </c>
      <c r="N53" s="49">
        <f aca="true" t="shared" si="13" ref="N53:U53">SUM(N54:N56)</f>
        <v>1360</v>
      </c>
      <c r="O53" s="49">
        <f t="shared" si="13"/>
        <v>170</v>
      </c>
      <c r="P53" s="49">
        <f t="shared" si="13"/>
        <v>170</v>
      </c>
      <c r="Q53" s="49">
        <f t="shared" si="13"/>
        <v>1530</v>
      </c>
      <c r="R53" s="49">
        <f t="shared" si="13"/>
        <v>0</v>
      </c>
      <c r="S53" s="49">
        <f t="shared" si="13"/>
        <v>1070</v>
      </c>
      <c r="T53" s="49">
        <f t="shared" si="13"/>
        <v>900</v>
      </c>
      <c r="U53" s="49">
        <f t="shared" si="13"/>
        <v>170</v>
      </c>
      <c r="V53" s="101"/>
    </row>
    <row r="54" spans="1:22" s="130" customFormat="1" ht="43.5" customHeight="1">
      <c r="A54" s="139">
        <v>1</v>
      </c>
      <c r="B54" s="140" t="s">
        <v>158</v>
      </c>
      <c r="C54" s="139" t="s">
        <v>16</v>
      </c>
      <c r="D54" s="121" t="s">
        <v>73</v>
      </c>
      <c r="E54" s="139"/>
      <c r="F54" s="141" t="s">
        <v>75</v>
      </c>
      <c r="G54" s="141" t="s">
        <v>111</v>
      </c>
      <c r="H54" s="123" t="s">
        <v>106</v>
      </c>
      <c r="I54" s="139" t="s">
        <v>170</v>
      </c>
      <c r="J54" s="139" t="s">
        <v>161</v>
      </c>
      <c r="K54" s="142" t="s">
        <v>119</v>
      </c>
      <c r="L54" s="124" t="s">
        <v>160</v>
      </c>
      <c r="M54" s="143">
        <v>600</v>
      </c>
      <c r="N54" s="144">
        <f>M54*0.8</f>
        <v>480</v>
      </c>
      <c r="O54" s="144">
        <v>60</v>
      </c>
      <c r="P54" s="144">
        <v>60</v>
      </c>
      <c r="Q54" s="136">
        <f>N54+O54</f>
        <v>540</v>
      </c>
      <c r="R54" s="144"/>
      <c r="S54" s="126">
        <f>T54+U54</f>
        <v>385</v>
      </c>
      <c r="T54" s="126">
        <v>325</v>
      </c>
      <c r="U54" s="126">
        <f>O54</f>
        <v>60</v>
      </c>
      <c r="V54" s="126"/>
    </row>
    <row r="55" spans="1:22" s="130" customFormat="1" ht="43.5" customHeight="1">
      <c r="A55" s="139">
        <v>2</v>
      </c>
      <c r="B55" s="140" t="s">
        <v>214</v>
      </c>
      <c r="C55" s="139" t="s">
        <v>16</v>
      </c>
      <c r="D55" s="121" t="s">
        <v>73</v>
      </c>
      <c r="E55" s="139"/>
      <c r="F55" s="141" t="s">
        <v>75</v>
      </c>
      <c r="G55" s="141" t="s">
        <v>111</v>
      </c>
      <c r="H55" s="123" t="s">
        <v>106</v>
      </c>
      <c r="I55" s="139" t="s">
        <v>170</v>
      </c>
      <c r="J55" s="139" t="s">
        <v>215</v>
      </c>
      <c r="K55" s="142" t="s">
        <v>119</v>
      </c>
      <c r="L55" s="124" t="s">
        <v>171</v>
      </c>
      <c r="M55" s="143">
        <v>600</v>
      </c>
      <c r="N55" s="144">
        <f>M55*0.8</f>
        <v>480</v>
      </c>
      <c r="O55" s="144">
        <v>60</v>
      </c>
      <c r="P55" s="144">
        <v>60</v>
      </c>
      <c r="Q55" s="136">
        <f>N55+O55</f>
        <v>540</v>
      </c>
      <c r="R55" s="144"/>
      <c r="S55" s="126">
        <f>T55+U55</f>
        <v>385</v>
      </c>
      <c r="T55" s="126">
        <v>325</v>
      </c>
      <c r="U55" s="126">
        <f>O55</f>
        <v>60</v>
      </c>
      <c r="V55" s="126"/>
    </row>
    <row r="56" spans="1:22" s="130" customFormat="1" ht="36" customHeight="1">
      <c r="A56" s="139">
        <v>3</v>
      </c>
      <c r="B56" s="129" t="s">
        <v>159</v>
      </c>
      <c r="C56" s="139" t="s">
        <v>16</v>
      </c>
      <c r="D56" s="121" t="s">
        <v>73</v>
      </c>
      <c r="E56" s="139"/>
      <c r="F56" s="141" t="s">
        <v>76</v>
      </c>
      <c r="G56" s="141" t="s">
        <v>111</v>
      </c>
      <c r="H56" s="123" t="s">
        <v>106</v>
      </c>
      <c r="I56" s="139" t="s">
        <v>170</v>
      </c>
      <c r="J56" s="139" t="s">
        <v>153</v>
      </c>
      <c r="K56" s="142" t="s">
        <v>119</v>
      </c>
      <c r="L56" s="124" t="s">
        <v>162</v>
      </c>
      <c r="M56" s="125">
        <v>500</v>
      </c>
      <c r="N56" s="145">
        <f>M56*0.8</f>
        <v>400</v>
      </c>
      <c r="O56" s="126">
        <f>M56*10%</f>
        <v>50</v>
      </c>
      <c r="P56" s="126">
        <v>50</v>
      </c>
      <c r="Q56" s="136">
        <f>N56+O56</f>
        <v>450</v>
      </c>
      <c r="R56" s="144"/>
      <c r="S56" s="126">
        <f>T56+U56</f>
        <v>300</v>
      </c>
      <c r="T56" s="126">
        <v>250</v>
      </c>
      <c r="U56" s="126">
        <f>O56</f>
        <v>50</v>
      </c>
      <c r="V56" s="126"/>
    </row>
    <row r="57" spans="1:22" s="4" customFormat="1" ht="34.5" customHeight="1">
      <c r="A57" s="46" t="s">
        <v>37</v>
      </c>
      <c r="B57" s="45" t="s">
        <v>60</v>
      </c>
      <c r="C57" s="46"/>
      <c r="D57" s="46"/>
      <c r="E57" s="46"/>
      <c r="F57" s="47"/>
      <c r="G57" s="47"/>
      <c r="H57" s="46"/>
      <c r="I57" s="46"/>
      <c r="J57" s="46"/>
      <c r="K57" s="48"/>
      <c r="L57" s="48"/>
      <c r="M57" s="49">
        <f>M58</f>
        <v>2130</v>
      </c>
      <c r="N57" s="49">
        <f aca="true" t="shared" si="14" ref="N57:U57">N58</f>
        <v>1704</v>
      </c>
      <c r="O57" s="49">
        <f t="shared" si="14"/>
        <v>213</v>
      </c>
      <c r="P57" s="49">
        <f t="shared" si="14"/>
        <v>213</v>
      </c>
      <c r="Q57" s="49">
        <f t="shared" si="14"/>
        <v>1917</v>
      </c>
      <c r="R57" s="49">
        <f t="shared" si="14"/>
        <v>673.8</v>
      </c>
      <c r="S57" s="49">
        <f t="shared" si="14"/>
        <v>900</v>
      </c>
      <c r="T57" s="49">
        <f t="shared" si="14"/>
        <v>900</v>
      </c>
      <c r="U57" s="49">
        <f t="shared" si="14"/>
        <v>0</v>
      </c>
      <c r="V57" s="113"/>
    </row>
    <row r="58" spans="1:22" s="5" customFormat="1" ht="36" customHeight="1">
      <c r="A58" s="50">
        <v>1</v>
      </c>
      <c r="B58" s="51" t="s">
        <v>20</v>
      </c>
      <c r="C58" s="50" t="s">
        <v>19</v>
      </c>
      <c r="D58" s="52" t="s">
        <v>73</v>
      </c>
      <c r="E58" s="50"/>
      <c r="F58" s="54" t="s">
        <v>76</v>
      </c>
      <c r="G58" s="54" t="s">
        <v>111</v>
      </c>
      <c r="H58" s="50" t="s">
        <v>91</v>
      </c>
      <c r="I58" s="114" t="s">
        <v>86</v>
      </c>
      <c r="J58" s="114" t="s">
        <v>86</v>
      </c>
      <c r="K58" s="55" t="s">
        <v>4</v>
      </c>
      <c r="L58" s="55" t="s">
        <v>87</v>
      </c>
      <c r="M58" s="115">
        <v>2130</v>
      </c>
      <c r="N58" s="116">
        <v>1704</v>
      </c>
      <c r="O58" s="116">
        <f>M58*10%</f>
        <v>213</v>
      </c>
      <c r="P58" s="116">
        <f>O58</f>
        <v>213</v>
      </c>
      <c r="Q58" s="57">
        <f>N58+O58</f>
        <v>1917</v>
      </c>
      <c r="R58" s="116">
        <f>460.8+O58</f>
        <v>673.8</v>
      </c>
      <c r="S58" s="58">
        <f>T58+U58</f>
        <v>900</v>
      </c>
      <c r="T58" s="116">
        <v>900</v>
      </c>
      <c r="U58" s="116"/>
      <c r="V58" s="117"/>
    </row>
    <row r="59" spans="1:22" s="4" customFormat="1" ht="27" customHeight="1">
      <c r="A59" s="46" t="s">
        <v>39</v>
      </c>
      <c r="B59" s="45" t="s">
        <v>61</v>
      </c>
      <c r="C59" s="75"/>
      <c r="D59" s="75"/>
      <c r="E59" s="75"/>
      <c r="F59" s="47"/>
      <c r="G59" s="47"/>
      <c r="H59" s="75"/>
      <c r="I59" s="46"/>
      <c r="J59" s="46"/>
      <c r="K59" s="48"/>
      <c r="L59" s="48"/>
      <c r="M59" s="49">
        <f>M60</f>
        <v>1363</v>
      </c>
      <c r="N59" s="49">
        <f aca="true" t="shared" si="15" ref="N59:U59">N60</f>
        <v>1090.4</v>
      </c>
      <c r="O59" s="49">
        <f t="shared" si="15"/>
        <v>136.3</v>
      </c>
      <c r="P59" s="49">
        <f t="shared" si="15"/>
        <v>136.3</v>
      </c>
      <c r="Q59" s="49">
        <f t="shared" si="15"/>
        <v>1226.7</v>
      </c>
      <c r="R59" s="49">
        <f t="shared" si="15"/>
        <v>0</v>
      </c>
      <c r="S59" s="49">
        <f t="shared" si="15"/>
        <v>1036.3</v>
      </c>
      <c r="T59" s="49">
        <f t="shared" si="15"/>
        <v>900</v>
      </c>
      <c r="U59" s="49">
        <f t="shared" si="15"/>
        <v>136.3</v>
      </c>
      <c r="V59" s="101"/>
    </row>
    <row r="60" spans="1:22" s="22" customFormat="1" ht="52.5" customHeight="1">
      <c r="A60" s="50">
        <v>1</v>
      </c>
      <c r="B60" s="51" t="s">
        <v>163</v>
      </c>
      <c r="C60" s="50" t="s">
        <v>23</v>
      </c>
      <c r="D60" s="52" t="s">
        <v>73</v>
      </c>
      <c r="E60" s="50"/>
      <c r="F60" s="54" t="s">
        <v>75</v>
      </c>
      <c r="G60" s="54" t="s">
        <v>111</v>
      </c>
      <c r="H60" s="50" t="s">
        <v>92</v>
      </c>
      <c r="I60" s="114" t="s">
        <v>191</v>
      </c>
      <c r="J60" s="114" t="s">
        <v>190</v>
      </c>
      <c r="K60" s="55" t="s">
        <v>119</v>
      </c>
      <c r="L60" s="55" t="s">
        <v>128</v>
      </c>
      <c r="M60" s="56">
        <v>1363</v>
      </c>
      <c r="N60" s="58">
        <f>M60*80/100</f>
        <v>1090.4</v>
      </c>
      <c r="O60" s="58">
        <f>M60*10/100</f>
        <v>136.3</v>
      </c>
      <c r="P60" s="58">
        <f>M60*10/100</f>
        <v>136.3</v>
      </c>
      <c r="Q60" s="57">
        <f>N60+O60</f>
        <v>1226.7</v>
      </c>
      <c r="R60" s="58"/>
      <c r="S60" s="58">
        <f>T60+U60</f>
        <v>1036.3</v>
      </c>
      <c r="T60" s="116">
        <f>900</f>
        <v>900</v>
      </c>
      <c r="U60" s="116">
        <f>O60</f>
        <v>136.3</v>
      </c>
      <c r="V60" s="114"/>
    </row>
    <row r="61" spans="1:22" s="4" customFormat="1" ht="30" customHeight="1">
      <c r="A61" s="46" t="s">
        <v>42</v>
      </c>
      <c r="B61" s="45" t="s">
        <v>62</v>
      </c>
      <c r="C61" s="46"/>
      <c r="D61" s="46"/>
      <c r="E61" s="46"/>
      <c r="F61" s="47"/>
      <c r="G61" s="47"/>
      <c r="H61" s="46"/>
      <c r="I61" s="46"/>
      <c r="J61" s="46"/>
      <c r="K61" s="48"/>
      <c r="L61" s="48"/>
      <c r="M61" s="49">
        <f>M62+M63</f>
        <v>1385</v>
      </c>
      <c r="N61" s="49">
        <f aca="true" t="shared" si="16" ref="N61:U61">N62+N63</f>
        <v>1107.4</v>
      </c>
      <c r="O61" s="49">
        <f t="shared" si="16"/>
        <v>169.6</v>
      </c>
      <c r="P61" s="49">
        <f t="shared" si="16"/>
        <v>108.00000000000003</v>
      </c>
      <c r="Q61" s="49">
        <f t="shared" si="16"/>
        <v>1277</v>
      </c>
      <c r="R61" s="49">
        <f t="shared" si="16"/>
        <v>0</v>
      </c>
      <c r="S61" s="49">
        <f t="shared" si="16"/>
        <v>1069.6</v>
      </c>
      <c r="T61" s="49">
        <f t="shared" si="16"/>
        <v>900</v>
      </c>
      <c r="U61" s="49">
        <f t="shared" si="16"/>
        <v>169.6</v>
      </c>
      <c r="V61" s="73"/>
    </row>
    <row r="62" spans="1:22" s="5" customFormat="1" ht="40.5" customHeight="1">
      <c r="A62" s="50">
        <v>1</v>
      </c>
      <c r="B62" s="51" t="s">
        <v>164</v>
      </c>
      <c r="C62" s="50" t="s">
        <v>28</v>
      </c>
      <c r="D62" s="52" t="s">
        <v>73</v>
      </c>
      <c r="E62" s="50"/>
      <c r="F62" s="54" t="s">
        <v>75</v>
      </c>
      <c r="G62" s="54" t="s">
        <v>111</v>
      </c>
      <c r="H62" s="50" t="s">
        <v>93</v>
      </c>
      <c r="I62" s="50" t="s">
        <v>170</v>
      </c>
      <c r="J62" s="50" t="s">
        <v>168</v>
      </c>
      <c r="K62" s="55" t="s">
        <v>119</v>
      </c>
      <c r="L62" s="55" t="s">
        <v>169</v>
      </c>
      <c r="M62" s="76">
        <v>770</v>
      </c>
      <c r="N62" s="77">
        <f>M62*80%</f>
        <v>616</v>
      </c>
      <c r="O62" s="77">
        <f>M62*10%</f>
        <v>77</v>
      </c>
      <c r="P62" s="77">
        <f>O62</f>
        <v>77</v>
      </c>
      <c r="Q62" s="57">
        <f>N62+O62</f>
        <v>693</v>
      </c>
      <c r="R62" s="77"/>
      <c r="S62" s="58">
        <f>T62+U62</f>
        <v>485.6</v>
      </c>
      <c r="T62" s="116">
        <f>900-T63</f>
        <v>408.6</v>
      </c>
      <c r="U62" s="116">
        <f>O62</f>
        <v>77</v>
      </c>
      <c r="V62" s="77"/>
    </row>
    <row r="63" spans="1:22" s="5" customFormat="1" ht="40.5" customHeight="1">
      <c r="A63" s="50">
        <v>2</v>
      </c>
      <c r="B63" s="51" t="s">
        <v>165</v>
      </c>
      <c r="C63" s="50" t="s">
        <v>28</v>
      </c>
      <c r="D63" s="52" t="s">
        <v>73</v>
      </c>
      <c r="E63" s="50"/>
      <c r="F63" s="54" t="s">
        <v>80</v>
      </c>
      <c r="G63" s="54" t="s">
        <v>157</v>
      </c>
      <c r="H63" s="50" t="s">
        <v>93</v>
      </c>
      <c r="I63" s="50" t="s">
        <v>166</v>
      </c>
      <c r="J63" s="50" t="s">
        <v>166</v>
      </c>
      <c r="K63" s="55" t="s">
        <v>119</v>
      </c>
      <c r="L63" s="55" t="s">
        <v>167</v>
      </c>
      <c r="M63" s="76">
        <v>615</v>
      </c>
      <c r="N63" s="77">
        <v>491.4</v>
      </c>
      <c r="O63" s="77">
        <f>M63*15%+0.35</f>
        <v>92.6</v>
      </c>
      <c r="P63" s="77">
        <f>M63-N63-O63</f>
        <v>31.00000000000003</v>
      </c>
      <c r="Q63" s="57">
        <f>N63+O63</f>
        <v>584</v>
      </c>
      <c r="R63" s="77"/>
      <c r="S63" s="58">
        <f>T63+U63</f>
        <v>584</v>
      </c>
      <c r="T63" s="116">
        <f>N63</f>
        <v>491.4</v>
      </c>
      <c r="U63" s="116">
        <f>O63</f>
        <v>92.6</v>
      </c>
      <c r="V63" s="77"/>
    </row>
  </sheetData>
  <sheetProtection/>
  <mergeCells count="30">
    <mergeCell ref="Q8:V8"/>
    <mergeCell ref="G9:G12"/>
    <mergeCell ref="I9:I12"/>
    <mergeCell ref="A3:S3"/>
    <mergeCell ref="S9:U10"/>
    <mergeCell ref="S11:S12"/>
    <mergeCell ref="T11:U11"/>
    <mergeCell ref="H9:H12"/>
    <mergeCell ref="M11:M12"/>
    <mergeCell ref="N11:P11"/>
    <mergeCell ref="R9:R12"/>
    <mergeCell ref="F9:F12"/>
    <mergeCell ref="A9:A12"/>
    <mergeCell ref="B9:B12"/>
    <mergeCell ref="C9:C12"/>
    <mergeCell ref="J9:J12"/>
    <mergeCell ref="D9:D12"/>
    <mergeCell ref="L9:P9"/>
    <mergeCell ref="L10:L12"/>
    <mergeCell ref="M10:P10"/>
    <mergeCell ref="A6:V6"/>
    <mergeCell ref="A4:V4"/>
    <mergeCell ref="A1:V1"/>
    <mergeCell ref="A2:V2"/>
    <mergeCell ref="A5:V5"/>
    <mergeCell ref="A14:B14"/>
    <mergeCell ref="K9:K12"/>
    <mergeCell ref="V9:V12"/>
    <mergeCell ref="E9:E12"/>
    <mergeCell ref="Q9:Q12"/>
  </mergeCells>
  <printOptions/>
  <pageMargins left="0.46" right="0.23" top="0.47" bottom="0.33" header="0.37" footer="0.23"/>
  <pageSetup horizontalDpi="600" verticalDpi="600" orientation="landscape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2023-03-20T00:21:17Z</cp:lastPrinted>
  <dcterms:created xsi:type="dcterms:W3CDTF">2022-08-19T01:32:47Z</dcterms:created>
  <dcterms:modified xsi:type="dcterms:W3CDTF">2023-03-21T08:36:47Z</dcterms:modified>
  <cp:category/>
  <cp:version/>
  <cp:contentType/>
  <cp:contentStatus/>
</cp:coreProperties>
</file>